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kumente\ÖBV-Schulbuchverlag\AWL Lehrbuch Gewerbe\Branchenspezifische Kapitel\Bauwirtschaft\Onlinematerial\"/>
    </mc:Choice>
  </mc:AlternateContent>
  <bookViews>
    <workbookView xWindow="0" yWindow="0" windowWidth="25200" windowHeight="9885" activeTab="2"/>
  </bookViews>
  <sheets>
    <sheet name="Facharbeiterstunde" sheetId="1" r:id="rId1"/>
    <sheet name="Lehrling 1.LJ" sheetId="2" r:id="rId2"/>
    <sheet name="Lehrling 2.LJ" sheetId="4" r:id="rId3"/>
    <sheet name="Lohntafel 1.5.16" sheetId="3"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4" l="1"/>
  <c r="G21" i="4"/>
  <c r="G23" i="4" s="1"/>
  <c r="G20" i="4"/>
  <c r="G19" i="4"/>
  <c r="C4" i="1"/>
  <c r="C4" i="2"/>
  <c r="C4" i="4"/>
  <c r="C72" i="3"/>
  <c r="C71" i="3"/>
  <c r="C69" i="3"/>
  <c r="C68" i="3"/>
  <c r="C67" i="3"/>
  <c r="C66" i="3"/>
  <c r="C65" i="3"/>
  <c r="B6" i="4"/>
  <c r="H33" i="4"/>
  <c r="B5" i="4" s="1"/>
  <c r="B5" i="2"/>
  <c r="H33" i="2"/>
  <c r="B6" i="2"/>
  <c r="H25" i="1"/>
  <c r="B5" i="1" s="1"/>
  <c r="B16" i="4" l="1"/>
  <c r="C16" i="4" s="1"/>
  <c r="G9" i="4"/>
  <c r="C9" i="4"/>
  <c r="G8" i="4"/>
  <c r="G7" i="4"/>
  <c r="C7" i="4"/>
  <c r="G6" i="4"/>
  <c r="C6" i="4"/>
  <c r="G5" i="4"/>
  <c r="C5" i="4"/>
  <c r="G4" i="4"/>
  <c r="G10" i="4" s="1"/>
  <c r="D4" i="4"/>
  <c r="D9" i="4" s="1"/>
  <c r="C11" i="4" l="1"/>
  <c r="G11" i="4"/>
  <c r="D6" i="4"/>
  <c r="D5" i="4"/>
  <c r="D7" i="4"/>
  <c r="G11" i="2"/>
  <c r="G7" i="2"/>
  <c r="B16" i="2"/>
  <c r="C16" i="2" s="1"/>
  <c r="C9" i="2"/>
  <c r="G9" i="2"/>
  <c r="G8" i="2"/>
  <c r="C7" i="2"/>
  <c r="G6" i="2"/>
  <c r="C6" i="2"/>
  <c r="G5" i="2"/>
  <c r="C5" i="2"/>
  <c r="C11" i="2" s="1"/>
  <c r="G4" i="2"/>
  <c r="D4" i="2"/>
  <c r="D9" i="2" s="1"/>
  <c r="B16" i="1"/>
  <c r="C16" i="1" s="1"/>
  <c r="C9" i="1"/>
  <c r="H8" i="1"/>
  <c r="H7" i="1"/>
  <c r="H6" i="1"/>
  <c r="H5" i="1"/>
  <c r="H4" i="1"/>
  <c r="H9" i="1" s="1"/>
  <c r="D4" i="1"/>
  <c r="C5" i="1"/>
  <c r="C6" i="1"/>
  <c r="C7" i="1"/>
  <c r="D9" i="1" l="1"/>
  <c r="C11" i="1"/>
  <c r="D6" i="1"/>
  <c r="H10" i="1"/>
  <c r="D7" i="1"/>
  <c r="D5" i="1"/>
  <c r="D10" i="4"/>
  <c r="D11" i="4" s="1"/>
  <c r="C15" i="4" s="1"/>
  <c r="C18" i="4" s="1"/>
  <c r="D7" i="2"/>
  <c r="D6" i="2"/>
  <c r="G10" i="2"/>
  <c r="D5" i="2"/>
  <c r="D10" i="1" l="1"/>
  <c r="D11" i="1"/>
  <c r="H12" i="1" s="1"/>
  <c r="C19" i="4"/>
  <c r="C17" i="4"/>
  <c r="G15" i="4"/>
  <c r="C20" i="4"/>
  <c r="C21" i="4"/>
  <c r="D10" i="2"/>
  <c r="D11" i="2" s="1"/>
  <c r="C15" i="2" s="1"/>
  <c r="C22" i="4" l="1"/>
  <c r="C15" i="1"/>
  <c r="H15" i="1" s="1"/>
  <c r="C20" i="1"/>
  <c r="C19" i="1"/>
  <c r="C18" i="1"/>
  <c r="C18" i="2"/>
  <c r="G15" i="2"/>
  <c r="C19" i="2"/>
  <c r="C21" i="2"/>
  <c r="C17" i="2"/>
  <c r="C20" i="2"/>
  <c r="C23" i="4" l="1"/>
  <c r="C24" i="4"/>
  <c r="C21" i="1"/>
  <c r="C17" i="1"/>
  <c r="C22" i="1" s="1"/>
  <c r="C23" i="1" s="1"/>
  <c r="C24" i="1" s="1"/>
  <c r="C25" i="1" s="1"/>
  <c r="C26" i="1" s="1"/>
  <c r="C22" i="2"/>
  <c r="C23" i="2" s="1"/>
  <c r="C24" i="2" s="1"/>
  <c r="C25" i="4" l="1"/>
  <c r="C26" i="4" s="1"/>
  <c r="C25" i="2"/>
  <c r="C26" i="2" s="1"/>
</calcChain>
</file>

<file path=xl/sharedStrings.xml><?xml version="1.0" encoding="utf-8"?>
<sst xmlns="http://schemas.openxmlformats.org/spreadsheetml/2006/main" count="259" uniqueCount="159">
  <si>
    <t>Kalkulation Regiestundensatz</t>
  </si>
  <si>
    <t>Lohnkosten</t>
  </si>
  <si>
    <t>Arbeitzzeit</t>
  </si>
  <si>
    <t>Arbeitgeberanteil zur Sozialversicherung</t>
  </si>
  <si>
    <t>Dienstgeberbeitrag</t>
  </si>
  <si>
    <t>Kommunalsteuer</t>
  </si>
  <si>
    <t>Freiwillige Sozialleistungen</t>
  </si>
  <si>
    <t>pro Stunde</t>
  </si>
  <si>
    <t>pro Jahr</t>
  </si>
  <si>
    <t>Kosten</t>
  </si>
  <si>
    <t xml:space="preserve"> </t>
  </si>
  <si>
    <t>Normalarbeitszeit</t>
  </si>
  <si>
    <t>- 5 Wochen Urlaub</t>
  </si>
  <si>
    <t>- 13 Feiertage</t>
  </si>
  <si>
    <t>- 2 Wochen Krankenstand</t>
  </si>
  <si>
    <t>- Pflegeurlaub</t>
  </si>
  <si>
    <t>Betriebliche Mitarbeitervorsorge</t>
  </si>
  <si>
    <t>- unproduktive Arbeitszeit</t>
  </si>
  <si>
    <t>=Verrechenbare Stunden</t>
  </si>
  <si>
    <t>Lohnnebenkosten in Prozent</t>
  </si>
  <si>
    <t>Sonderzahlungen</t>
  </si>
  <si>
    <t>Kosten einer verrechenbaren Stunde</t>
  </si>
  <si>
    <t>+ Auswärtsdiäten anteilig pro Stunde</t>
  </si>
  <si>
    <t>Haftpflichtversicherung</t>
  </si>
  <si>
    <t>Ausrüstung mit Kleingeräten</t>
  </si>
  <si>
    <t>Kleinmaterial</t>
  </si>
  <si>
    <t>Lohnverrechnung anteilig</t>
  </si>
  <si>
    <t>Andere allgemeine Kosten</t>
  </si>
  <si>
    <t>= Nettopreis pro Arbeitsstunde</t>
  </si>
  <si>
    <t>+20 % Umsatzsteuer</t>
  </si>
  <si>
    <t>= Bruttopreis einer Arbeitsstunde</t>
  </si>
  <si>
    <t>Selbstkosten einer Arbeitsstunde</t>
  </si>
  <si>
    <t>27 % Gemeinkosten inklusive Gewinn</t>
  </si>
  <si>
    <t>für einzelne Facharbeiterstunden</t>
  </si>
  <si>
    <t>für einzelne Lehrlingsstunden</t>
  </si>
  <si>
    <t>- 10 Wochen Berufsschule</t>
  </si>
  <si>
    <t>Lehrlingsentschädigung</t>
  </si>
  <si>
    <t>im 1. Lehrjahr:</t>
  </si>
  <si>
    <t>im 2. Lehrjahr:</t>
  </si>
  <si>
    <t>€ 1.386,51</t>
  </si>
  <si>
    <t>im 3. Lehrjahr:</t>
  </si>
  <si>
    <t>€ 1.849,25</t>
  </si>
  <si>
    <t>im 4. Lehrjahr:</t>
  </si>
  <si>
    <t>€ 2.081,46</t>
  </si>
  <si>
    <t>Lehrlinge, die nach Vollendung des 18. Lebensjahres in die Lehre eintreten</t>
  </si>
  <si>
    <t>Artikel 3 – Lohntafel</t>
  </si>
  <si>
    <t>Beschäftigungsgruppe</t>
  </si>
  <si>
    <t>Stundenlohn</t>
  </si>
  <si>
    <t>in €</t>
  </si>
  <si>
    <t>I. Vizepolier</t>
  </si>
  <si>
    <t>(Hauptgerüster, Hauptpartieführer im Straßenbau, Hilfspolier)</t>
  </si>
  <si>
    <t>II. Facharbeiter</t>
  </si>
  <si>
    <t>(das sind Arbeitnehmer, die in ihrem erlernten Beruf beschäftigt werden bzw. für die Beschäftigung in diesem Beruf als Facharbeiter vermittelt oder aufgenommen wurden)</t>
  </si>
  <si>
    <t>a)</t>
  </si>
  <si>
    <t>Vorarbeiter</t>
  </si>
  <si>
    <t>b)</t>
  </si>
  <si>
    <t>Facharbeiter</t>
  </si>
  <si>
    <t>III. Angelernte Bauarbeiter</t>
  </si>
  <si>
    <t>(das sind für besondere Arbeiten qualifizierte Arbeiter)</t>
  </si>
  <si>
    <t>Asphaltierervorarbeiter,</t>
  </si>
  <si>
    <t>Baggerführer,</t>
  </si>
  <si>
    <t>Drittelführer,</t>
  </si>
  <si>
    <t>Düsenführer von Mörtelspritzmaschinen,</t>
  </si>
  <si>
    <t>Eisenbahnoberbauvorarbeiter,</t>
  </si>
  <si>
    <t>Führer von motorisch betriebenen Turm- und Derrick-Kränen,</t>
  </si>
  <si>
    <t>Führer von Grädern, Straßenfertigern und Zugmaschinen mit einer Motorenleistung von 90 PS und darüber,</t>
  </si>
  <si>
    <t>Führer von Lastkraftwagen mit mehr als 10 t Eigengewicht,</t>
  </si>
  <si>
    <t>Führer von Großraumfahrzeugen ab 7,5 t Nutzlast,</t>
  </si>
  <si>
    <t>Führer von Raupenfahrzeugen mit einem Eigengewicht von 10 t und darüber,</t>
  </si>
  <si>
    <t>Führer von Schrägaufzügen und Seilbahnen, wenn diese Verkehrsmittel zur Personenbeförderung zugelassen sind,</t>
  </si>
  <si>
    <t>Kabelkranführer,</t>
  </si>
  <si>
    <t>Partieführer im Straßenbau,</t>
  </si>
  <si>
    <t>Sprengmeister (Sprengbefugter laut Sprengarbeiten-Verordnung)</t>
  </si>
  <si>
    <t>Führer von Zugmaschinen mit einer Motorenleistung von 45 PS und darüber,</t>
  </si>
  <si>
    <t>Führer von Lastkraftwagen mit mehr als 5 t Eigengewicht,</t>
  </si>
  <si>
    <t>Führer von Raupenfahrzeugen mit 5 bis 10 t Eigengewicht,</t>
  </si>
  <si>
    <t>Führer von Lokomotiven mit mindestens 5 t Eigengewicht,</t>
  </si>
  <si>
    <t>Maschinist an Heißmischmaschinen,</t>
  </si>
  <si>
    <t>Mineur,</t>
  </si>
  <si>
    <t>Montierer im Eisenbahnoberbau,</t>
  </si>
  <si>
    <t>Schweißer (für Autogen- und Elektroverfahren)</t>
  </si>
  <si>
    <t>Steinmaurer</t>
  </si>
  <si>
    <t>c)</t>
  </si>
  <si>
    <t>Asphaltierer, die mit Gußasphalt arbeiten,</t>
  </si>
  <si>
    <t>Gerüster,</t>
  </si>
  <si>
    <t>Schaler,</t>
  </si>
  <si>
    <t>Eisenbieger und Eisenflechter</t>
  </si>
  <si>
    <t>d)</t>
  </si>
  <si>
    <t>Abbrucharbeiter im Straßenbau von Hand aus,</t>
  </si>
  <si>
    <t>Asphaltierer, die mit qualifizierten Tätigkeiten beim Einbau bituminöser Beläge betraut sind und eine entsprechende Ausbildung und Erfahrung aufweisen,</t>
  </si>
  <si>
    <t>Bermenschlichter,</t>
  </si>
  <si>
    <t>Betonierer,</t>
  </si>
  <si>
    <t>Fahrer von Fahrzeugen mit Eigenantrieb, soweit sie nicht in einer der Beschäftigungsgruppen dieser Lohntafel gesondert angeführt sind,</t>
  </si>
  <si>
    <t>Gleiswerker,</t>
  </si>
  <si>
    <t>Grundbauleger,</t>
  </si>
  <si>
    <t>Hilfskoch,</t>
  </si>
  <si>
    <t>Kesselmann,</t>
  </si>
  <si>
    <t>Maschinist an motorisch betriebenen Geräten und Maschinen, soweit sie nicht in einer der Beschäftigungsgruppen dieser Lohntafel gesondert angeführt sind,</t>
  </si>
  <si>
    <t>Planierer,</t>
  </si>
  <si>
    <t>Spritzer</t>
  </si>
  <si>
    <t>e)</t>
  </si>
  <si>
    <t>Baggerschmierer,</t>
  </si>
  <si>
    <t>Generator-, Kompressor- und Pumpenwärter,</t>
  </si>
  <si>
    <t>Gleisbauer,</t>
  </si>
  <si>
    <t>Grünverbauer,</t>
  </si>
  <si>
    <t>Stollenschlepper</t>
  </si>
  <si>
    <t>IV. Bauhilfsarbeiter</t>
  </si>
  <si>
    <t>V. Sonstiges Hilfspersonal</t>
  </si>
  <si>
    <t>Bediener,</t>
  </si>
  <si>
    <t>Bote,</t>
  </si>
  <si>
    <t>Küchenpersonal,</t>
  </si>
  <si>
    <t>Portier,</t>
  </si>
  <si>
    <t>Wächter</t>
  </si>
  <si>
    <t>VI. Lehrlinge</t>
  </si>
  <si>
    <t>im 1. Lehrjahr 40 Prozent des Facharbeiterlohnes der Beschäftigungsgruppe II b), das sind</t>
  </si>
  <si>
    <t>im 2. Lehrjahr 60 Prozent des Facharbeiterlohnes der Beschäftigungsgruppe II b), das sind</t>
  </si>
  <si>
    <t>im 3. Lehrjahr 80 Prozent des Facharbeiterlohnes der Beschäftigungsgruppe II b), das sind</t>
  </si>
  <si>
    <t>im 4. Lehrjahr bei Erlernung von Doppelberufen 90 Prozent des Facharbeiterlohnes der Beschäftigungsgruppe II b), das sind</t>
  </si>
  <si>
    <t>Lehrlinge, die nach Vollendung des 18. Lebensjahres in die Lehre eintreten, erhalten 80 Prozent des Facharbeiterlohnes der Lohnkategorie II b), das sind</t>
  </si>
  <si>
    <t>VII. Praktikanten</t>
  </si>
  <si>
    <t>Pflichtpraktikanten, das sind Schüler und Studenten, die eine im Rahmen des Lehrplanes bzw. der Studienordnung vorgeschriebene oder übliche praktische Tätigkeit verrichten, in Höhe der Lohngruppe VIa (Lehrlingsentschädigung für das 1. Lehrjahr), das sind</t>
  </si>
  <si>
    <t>Ferialarbeitnehmer, das sind solche, die unter lit a) fallen und in Zeiten von Schulferien vorübergehend beschäftigt werden, in Höhe der Lohngruppe VIb (Lehrlingsentschädigung für das 2. Lehrjahr), das sind</t>
  </si>
  <si>
    <t>Bruttolohn 1. Lehrjahr</t>
  </si>
  <si>
    <t>Bruttolohn 2. Lehrjahr</t>
  </si>
  <si>
    <t>geschätzt</t>
  </si>
  <si>
    <t>39 Std, 52 Wochen</t>
  </si>
  <si>
    <t>39 Std, 5 Wochen</t>
  </si>
  <si>
    <t>39/5 x 13 Tage</t>
  </si>
  <si>
    <t>39 Std, 2 Wochen</t>
  </si>
  <si>
    <t>39 Std/5 x 2 Tage</t>
  </si>
  <si>
    <t xml:space="preserve">3,5 % von 2028 Std. </t>
  </si>
  <si>
    <t>verbleibende Zeit</t>
  </si>
  <si>
    <t>Jahresstunden</t>
  </si>
  <si>
    <t>Kosten einer bezahlten Stunde</t>
  </si>
  <si>
    <t>Kalkulation:</t>
  </si>
  <si>
    <t>Kosten produktiver Stunden</t>
  </si>
  <si>
    <t>=D11/H10</t>
  </si>
  <si>
    <t>=H12/C4-100</t>
  </si>
  <si>
    <t>Bruttolohn gemäß KV</t>
  </si>
  <si>
    <t>- 10 Tage Krankenstand</t>
  </si>
  <si>
    <t>- 2 Tage Dienstverhinderung</t>
  </si>
  <si>
    <t>- 3,5 % unproduktive Zeit</t>
  </si>
  <si>
    <t>Aufstellung: Sozialversicherungsbeiträge AGA</t>
  </si>
  <si>
    <t>Krankenversicherung</t>
  </si>
  <si>
    <t>Unfallversicherung</t>
  </si>
  <si>
    <t>Pensionsversicherung</t>
  </si>
  <si>
    <t>Arbeitslosenversicherung</t>
  </si>
  <si>
    <t>Schlechtwetter-Urlaubskasse</t>
  </si>
  <si>
    <t>Insolvenzentgeltsicherung</t>
  </si>
  <si>
    <t>Wohnbauförderungsbeitrag</t>
  </si>
  <si>
    <t>gesamter Arbeitgeberanteil</t>
  </si>
  <si>
    <t>Dienstgeberbeitrag (Wien)</t>
  </si>
  <si>
    <t>ab 1.5.2017</t>
  </si>
  <si>
    <t>gesamter Arbeitgeberanteil 2. LJ</t>
  </si>
  <si>
    <t>Aufstellung der Sozialversicherung AGA</t>
  </si>
  <si>
    <t>Lohnkosten Facharbeiter IIa</t>
  </si>
  <si>
    <t>Lehrlingsentschädigung monatlich</t>
  </si>
  <si>
    <t>Kleinmaterial pauschal</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</si>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</sst>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_-* #,##0.00\ [$€-407]_-;\-* #,##0.00\ [$€-407]_-;_-* &quot;-&quot;??\ [$€-407]_-;_-@_-"/>
    <numFmt numFmtId="165" formatCode="_-[$€-C07]\ * #,##0.00_-;\-[$€-C07]\ * #,##0.00_-;_-[$€-C07]\ * &quot;-&quot;??_-;_-@_-"/>
    <numFmt numFmtId="166" formatCode="0.000"/>
    <numFmt numFmtId="167" formatCode="[$€-2]\ #,##0.00;[Red]\-[$€-2]\ #,##0.00"/>
  </numFmts>
  <fonts count="5" x14ac:knownFonts="1">
    <font>
      <sz val="11"/>
      <color theme="1"/>
      <name val="Calibri"/>
      <family val="2"/>
    </font>
    <font>
      <sz val="11"/>
      <color theme="1"/>
      <name val="Calibri"/>
      <family val="2"/>
    </font>
    <font>
      <b/>
      <sz val="11"/>
      <color theme="1"/>
      <name val="Calibri"/>
      <family val="2"/>
    </font>
    <font>
      <b/>
      <sz val="12"/>
      <color theme="1"/>
      <name val="Calibri"/>
      <family val="2"/>
    </font>
    <font>
      <b/>
      <sz val="14"/>
      <color theme="1"/>
      <name val="Calibri"/>
      <family val="2"/>
    </font>
  </fonts>
  <fills count="6">
    <fill>
      <patternFill patternType="none"/>
    </fill>
    <fill>
      <patternFill patternType="gray125"/>
    </fill>
    <fill>
      <patternFill patternType="solid">
        <fgColor theme="4"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90">
    <xf numFmtId="0" fontId="0" fillId="0" borderId="0" xfId="0"/>
    <xf numFmtId="164" fontId="0" fillId="0" borderId="0" xfId="0" applyNumberFormat="1"/>
    <xf numFmtId="49" fontId="0" fillId="0" borderId="0" xfId="0" applyNumberFormat="1"/>
    <xf numFmtId="49" fontId="3" fillId="2" borderId="0" xfId="0" applyNumberFormat="1" applyFont="1" applyFill="1"/>
    <xf numFmtId="49" fontId="2" fillId="2" borderId="0" xfId="0" applyNumberFormat="1" applyFont="1" applyFill="1"/>
    <xf numFmtId="49" fontId="0" fillId="0" borderId="1" xfId="0" applyNumberFormat="1" applyBorder="1"/>
    <xf numFmtId="9" fontId="0" fillId="0" borderId="1" xfId="0" applyNumberFormat="1" applyBorder="1"/>
    <xf numFmtId="164" fontId="0" fillId="0" borderId="1" xfId="0" applyNumberFormat="1" applyBorder="1"/>
    <xf numFmtId="10" fontId="0" fillId="0" borderId="1" xfId="0" applyNumberFormat="1" applyBorder="1"/>
    <xf numFmtId="165" fontId="0" fillId="0" borderId="1" xfId="0" applyNumberFormat="1" applyBorder="1"/>
    <xf numFmtId="49" fontId="2" fillId="0" borderId="1" xfId="0" applyNumberFormat="1" applyFont="1" applyBorder="1"/>
    <xf numFmtId="0" fontId="2" fillId="0" borderId="1" xfId="0" applyFont="1" applyBorder="1"/>
    <xf numFmtId="164" fontId="2" fillId="0" borderId="1" xfId="0" applyNumberFormat="1" applyFont="1" applyBorder="1"/>
    <xf numFmtId="165" fontId="2" fillId="0" borderId="1" xfId="0" applyNumberFormat="1" applyFont="1" applyBorder="1"/>
    <xf numFmtId="0" fontId="0" fillId="0" borderId="1" xfId="0" applyBorder="1"/>
    <xf numFmtId="165" fontId="0" fillId="0" borderId="1" xfId="1" applyNumberFormat="1" applyFont="1" applyBorder="1"/>
    <xf numFmtId="49" fontId="2" fillId="2" borderId="1" xfId="0" applyNumberFormat="1" applyFont="1" applyFill="1" applyBorder="1"/>
    <xf numFmtId="165" fontId="2" fillId="2" borderId="1" xfId="0" applyNumberFormat="1" applyFont="1" applyFill="1" applyBorder="1"/>
    <xf numFmtId="166" fontId="0" fillId="0" borderId="1" xfId="0" applyNumberFormat="1" applyBorder="1"/>
    <xf numFmtId="0" fontId="4" fillId="0" borderId="0" xfId="0" applyFont="1"/>
    <xf numFmtId="0" fontId="0" fillId="0" borderId="2" xfId="0" applyBorder="1" applyAlignment="1">
      <alignment vertical="center" wrapText="1"/>
    </xf>
    <xf numFmtId="167"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2" fillId="0" borderId="0" xfId="0" applyFont="1"/>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2" xfId="0" applyFont="1" applyBorder="1" applyAlignment="1">
      <alignment horizontal="center" vertical="top" wrapText="1"/>
    </xf>
    <xf numFmtId="0" fontId="4" fillId="0" borderId="2" xfId="0" applyFont="1" applyBorder="1" applyAlignment="1">
      <alignment horizontal="left" vertical="top" wrapText="1"/>
    </xf>
    <xf numFmtId="166" fontId="2" fillId="0" borderId="1" xfId="0" applyNumberFormat="1" applyFont="1" applyBorder="1"/>
    <xf numFmtId="0" fontId="2" fillId="3" borderId="1" xfId="0" applyFont="1" applyFill="1" applyBorder="1"/>
    <xf numFmtId="49" fontId="2" fillId="3" borderId="1" xfId="0" applyNumberFormat="1" applyFont="1" applyFill="1" applyBorder="1"/>
    <xf numFmtId="164" fontId="2" fillId="3" borderId="1" xfId="0" applyNumberFormat="1" applyFont="1" applyFill="1" applyBorder="1"/>
    <xf numFmtId="49" fontId="2" fillId="0" borderId="0" xfId="0" applyNumberFormat="1" applyFont="1"/>
    <xf numFmtId="49" fontId="3" fillId="3" borderId="0" xfId="0" applyNumberFormat="1" applyFont="1" applyFill="1"/>
    <xf numFmtId="165" fontId="2" fillId="0" borderId="0" xfId="0" applyNumberFormat="1" applyFont="1"/>
    <xf numFmtId="49" fontId="2" fillId="4" borderId="1" xfId="0" applyNumberFormat="1" applyFont="1" applyFill="1" applyBorder="1"/>
    <xf numFmtId="165" fontId="2" fillId="4" borderId="1" xfId="0" applyNumberFormat="1" applyFont="1" applyFill="1" applyBorder="1"/>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4" xfId="0" applyFont="1" applyBorder="1" applyAlignment="1">
      <alignment vertical="center" wrapText="1"/>
    </xf>
    <xf numFmtId="0" fontId="4" fillId="0" borderId="16" xfId="0" applyFont="1" applyBorder="1" applyAlignment="1">
      <alignment vertical="center" wrapText="1"/>
    </xf>
    <xf numFmtId="0" fontId="4" fillId="0" borderId="15"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4" fillId="0" borderId="14" xfId="0" applyFont="1" applyBorder="1" applyAlignment="1">
      <alignment horizontal="left" vertical="top" wrapText="1"/>
    </xf>
    <xf numFmtId="0" fontId="4" fillId="0" borderId="16" xfId="0" applyFont="1" applyBorder="1" applyAlignment="1">
      <alignment horizontal="left" vertical="top" wrapText="1"/>
    </xf>
    <xf numFmtId="0" fontId="4" fillId="0" borderId="15" xfId="0" applyFont="1" applyBorder="1" applyAlignment="1">
      <alignment horizontal="left" vertical="top"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4" fillId="0" borderId="3" xfId="0" applyFont="1" applyBorder="1" applyAlignment="1">
      <alignment vertical="center" wrapText="1"/>
    </xf>
    <xf numFmtId="0" fontId="4" fillId="0" borderId="12" xfId="0" applyFont="1" applyBorder="1" applyAlignment="1">
      <alignment vertical="center" wrapText="1"/>
    </xf>
    <xf numFmtId="0" fontId="4" fillId="0" borderId="4" xfId="0" applyFont="1" applyBorder="1" applyAlignment="1">
      <alignment vertical="center" wrapText="1"/>
    </xf>
    <xf numFmtId="0" fontId="4" fillId="0" borderId="7" xfId="0" applyFont="1" applyBorder="1" applyAlignment="1">
      <alignment vertical="center" wrapText="1"/>
    </xf>
    <xf numFmtId="0" fontId="4" fillId="0" borderId="13" xfId="0" applyFont="1" applyBorder="1" applyAlignment="1">
      <alignment vertical="center" wrapText="1"/>
    </xf>
    <xf numFmtId="0" fontId="4" fillId="0" borderId="8" xfId="0" applyFont="1" applyBorder="1" applyAlignment="1">
      <alignment vertical="center"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10" fontId="0" fillId="0" borderId="0" xfId="0" applyNumberFormat="1"/>
    <xf numFmtId="9" fontId="0" fillId="0" borderId="0" xfId="0" applyNumberFormat="1"/>
    <xf numFmtId="10" fontId="2" fillId="0" borderId="0" xfId="0" applyNumberFormat="1" applyFont="1"/>
    <xf numFmtId="165" fontId="0" fillId="0" borderId="0" xfId="0" applyNumberFormat="1"/>
    <xf numFmtId="49" fontId="0" fillId="0" borderId="17" xfId="0" applyNumberFormat="1" applyFill="1" applyBorder="1"/>
    <xf numFmtId="2" fontId="4" fillId="0" borderId="2" xfId="0" applyNumberFormat="1" applyFont="1" applyBorder="1" applyAlignment="1">
      <alignment horizontal="center" wrapText="1"/>
    </xf>
    <xf numFmtId="2" fontId="2" fillId="0" borderId="1" xfId="0" applyNumberFormat="1" applyFont="1" applyBorder="1"/>
    <xf numFmtId="49" fontId="2" fillId="5" borderId="0" xfId="0" applyNumberFormat="1" applyFont="1" applyFill="1" applyBorder="1"/>
    <xf numFmtId="0" fontId="2" fillId="5" borderId="0" xfId="0" applyFont="1" applyFill="1" applyBorder="1"/>
    <xf numFmtId="165" fontId="2" fillId="5" borderId="0" xfId="0" applyNumberFormat="1" applyFont="1" applyFill="1" applyBorder="1"/>
    <xf numFmtId="0" fontId="0" fillId="5" borderId="0" xfId="0" applyFill="1" applyBorder="1"/>
    <xf numFmtId="49" fontId="2" fillId="4" borderId="18" xfId="0" applyNumberFormat="1" applyFont="1" applyFill="1" applyBorder="1"/>
    <xf numFmtId="0" fontId="0" fillId="0" borderId="18" xfId="0" applyBorder="1"/>
    <xf numFmtId="165" fontId="2" fillId="4" borderId="18" xfId="0" applyNumberFormat="1" applyFont="1" applyFill="1" applyBorder="1"/>
    <xf numFmtId="49" fontId="0" fillId="5" borderId="0" xfId="0" applyNumberFormat="1" applyFill="1" applyBorder="1"/>
    <xf numFmtId="9" fontId="0" fillId="5" borderId="0" xfId="0" applyNumberFormat="1" applyFill="1" applyBorder="1"/>
    <xf numFmtId="165" fontId="0" fillId="5" borderId="0" xfId="0" applyNumberFormat="1" applyFill="1" applyBorder="1"/>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D28" sqref="D28"/>
    </sheetView>
  </sheetViews>
  <sheetFormatPr baseColWidth="10" defaultRowHeight="15" x14ac:dyDescent="0.25"/>
  <cols>
    <col min="1" max="1" width="37" customWidth="1"/>
    <col min="4" max="4" width="12.85546875" bestFit="1" customWidth="1"/>
    <col min="5" max="5" width="5.140625" customWidth="1"/>
    <col min="6" max="6" width="26.5703125" customWidth="1"/>
    <col min="7" max="7" width="18.7109375" customWidth="1"/>
  </cols>
  <sheetData>
    <row r="1" spans="1:8" ht="18.75" x14ac:dyDescent="0.3">
      <c r="A1" s="19" t="s">
        <v>0</v>
      </c>
      <c r="B1" t="s">
        <v>33</v>
      </c>
    </row>
    <row r="3" spans="1:8" ht="15.75" x14ac:dyDescent="0.25">
      <c r="A3" s="3" t="s">
        <v>155</v>
      </c>
      <c r="C3" t="s">
        <v>7</v>
      </c>
      <c r="D3" t="s">
        <v>8</v>
      </c>
      <c r="F3" s="4" t="s">
        <v>2</v>
      </c>
      <c r="H3" t="s">
        <v>132</v>
      </c>
    </row>
    <row r="4" spans="1:8" x14ac:dyDescent="0.25">
      <c r="A4" s="5" t="s">
        <v>138</v>
      </c>
      <c r="B4" s="6">
        <v>1</v>
      </c>
      <c r="C4" s="38">
        <f>'Lohntafel 1.5.16'!C9</f>
        <v>15.2</v>
      </c>
      <c r="D4" s="7">
        <f>C4*39*52</f>
        <v>30825.599999999999</v>
      </c>
      <c r="F4" s="5" t="s">
        <v>11</v>
      </c>
      <c r="G4" s="2" t="s">
        <v>125</v>
      </c>
      <c r="H4" s="14">
        <f>39*52</f>
        <v>2028</v>
      </c>
    </row>
    <row r="5" spans="1:8" x14ac:dyDescent="0.25">
      <c r="A5" s="5" t="s">
        <v>3</v>
      </c>
      <c r="B5" s="8">
        <f>H25</f>
        <v>0.22180000000000002</v>
      </c>
      <c r="C5" s="9">
        <f>C4*B5</f>
        <v>3.3713600000000001</v>
      </c>
      <c r="D5" s="9">
        <f>D4*B5</f>
        <v>6837.1180800000002</v>
      </c>
      <c r="F5" s="5" t="s">
        <v>12</v>
      </c>
      <c r="G5" s="2" t="s">
        <v>126</v>
      </c>
      <c r="H5" s="14">
        <f>5*39</f>
        <v>195</v>
      </c>
    </row>
    <row r="6" spans="1:8" x14ac:dyDescent="0.25">
      <c r="A6" s="5" t="s">
        <v>151</v>
      </c>
      <c r="B6" s="8">
        <v>4.4999999999999998E-2</v>
      </c>
      <c r="C6" s="9">
        <f>C4*B6</f>
        <v>0.68399999999999994</v>
      </c>
      <c r="D6" s="9">
        <f>D4*B6</f>
        <v>1387.1519999999998</v>
      </c>
      <c r="F6" s="5" t="s">
        <v>13</v>
      </c>
      <c r="G6" s="2" t="s">
        <v>127</v>
      </c>
      <c r="H6" s="14">
        <f>39/5*13</f>
        <v>101.39999999999999</v>
      </c>
    </row>
    <row r="7" spans="1:8" x14ac:dyDescent="0.25">
      <c r="A7" s="5" t="s">
        <v>5</v>
      </c>
      <c r="B7" s="6">
        <v>0.03</v>
      </c>
      <c r="C7" s="9">
        <f>C4*B7</f>
        <v>0.45599999999999996</v>
      </c>
      <c r="D7" s="9">
        <f>D4*B7</f>
        <v>924.76799999999992</v>
      </c>
      <c r="F7" s="5" t="s">
        <v>14</v>
      </c>
      <c r="G7" s="2" t="s">
        <v>128</v>
      </c>
      <c r="H7" s="14">
        <f>39*2</f>
        <v>78</v>
      </c>
    </row>
    <row r="8" spans="1:8" x14ac:dyDescent="0.25">
      <c r="A8" s="5" t="s">
        <v>6</v>
      </c>
      <c r="B8" s="6" t="s">
        <v>124</v>
      </c>
      <c r="C8" s="9"/>
      <c r="D8" s="9">
        <v>150</v>
      </c>
      <c r="F8" s="5" t="s">
        <v>15</v>
      </c>
      <c r="G8" s="2" t="s">
        <v>129</v>
      </c>
      <c r="H8" s="14">
        <f>39/5*2.2</f>
        <v>17.16</v>
      </c>
    </row>
    <row r="9" spans="1:8" x14ac:dyDescent="0.25">
      <c r="A9" s="5" t="s">
        <v>16</v>
      </c>
      <c r="B9" s="8">
        <v>1.5299999999999999E-2</v>
      </c>
      <c r="C9" s="9">
        <f>C4*B9</f>
        <v>0.23255999999999999</v>
      </c>
      <c r="D9" s="9">
        <f>D4*B9</f>
        <v>471.63167999999996</v>
      </c>
      <c r="F9" s="5" t="s">
        <v>17</v>
      </c>
      <c r="G9" s="2" t="s">
        <v>130</v>
      </c>
      <c r="H9" s="14">
        <f>H4/100*3.5</f>
        <v>70.98</v>
      </c>
    </row>
    <row r="10" spans="1:8" x14ac:dyDescent="0.25">
      <c r="A10" s="5" t="s">
        <v>20</v>
      </c>
      <c r="B10" s="8">
        <v>0.16669999999999999</v>
      </c>
      <c r="C10" s="9"/>
      <c r="D10" s="9">
        <f>(D4+D5+D6+D7+D9)/6</f>
        <v>6741.0449599999993</v>
      </c>
      <c r="F10" s="37" t="s">
        <v>18</v>
      </c>
      <c r="G10" s="2" t="s">
        <v>131</v>
      </c>
      <c r="H10" s="36">
        <f>H4-H5-H6-H7-H8-H9</f>
        <v>1565.4599999999998</v>
      </c>
    </row>
    <row r="11" spans="1:8" x14ac:dyDescent="0.25">
      <c r="A11" s="10" t="s">
        <v>133</v>
      </c>
      <c r="B11" s="11"/>
      <c r="C11" s="12">
        <f>C4+C5+C6+C7+C9</f>
        <v>19.943919999999999</v>
      </c>
      <c r="D11" s="13">
        <f>SUM(D4:D10)</f>
        <v>47337.314719999995</v>
      </c>
      <c r="F11" s="2"/>
    </row>
    <row r="12" spans="1:8" x14ac:dyDescent="0.25">
      <c r="A12" s="2"/>
      <c r="C12" s="1" t="s">
        <v>10</v>
      </c>
      <c r="F12" s="39" t="s">
        <v>135</v>
      </c>
      <c r="G12" s="39" t="s">
        <v>136</v>
      </c>
      <c r="H12" s="41">
        <f>D11/H10</f>
        <v>30.238597421844059</v>
      </c>
    </row>
    <row r="13" spans="1:8" x14ac:dyDescent="0.25">
      <c r="A13" s="2"/>
      <c r="F13" s="2"/>
    </row>
    <row r="14" spans="1:8" ht="15.75" x14ac:dyDescent="0.25">
      <c r="A14" s="40" t="s">
        <v>134</v>
      </c>
      <c r="F14" s="2"/>
    </row>
    <row r="15" spans="1:8" x14ac:dyDescent="0.25">
      <c r="A15" s="10" t="s">
        <v>21</v>
      </c>
      <c r="B15" s="14"/>
      <c r="C15" s="13">
        <f>D11/H10</f>
        <v>30.238597421844059</v>
      </c>
      <c r="F15" s="11" t="s">
        <v>19</v>
      </c>
      <c r="G15" s="2" t="s">
        <v>137</v>
      </c>
      <c r="H15" s="35">
        <f>C15*100/C4-100</f>
        <v>98.938140933184627</v>
      </c>
    </row>
    <row r="16" spans="1:8" x14ac:dyDescent="0.25">
      <c r="A16" s="5" t="s">
        <v>22</v>
      </c>
      <c r="B16" s="14">
        <f>10.5/8</f>
        <v>1.3125</v>
      </c>
      <c r="C16" s="15">
        <f>B16</f>
        <v>1.3125</v>
      </c>
    </row>
    <row r="17" spans="1:8" x14ac:dyDescent="0.25">
      <c r="A17" s="5" t="s">
        <v>23</v>
      </c>
      <c r="B17" s="8">
        <v>2.5000000000000001E-2</v>
      </c>
      <c r="C17" s="9">
        <f>C15*B17</f>
        <v>0.75596493554610156</v>
      </c>
      <c r="F17" s="23" t="s">
        <v>154</v>
      </c>
    </row>
    <row r="18" spans="1:8" x14ac:dyDescent="0.25">
      <c r="A18" s="5" t="s">
        <v>24</v>
      </c>
      <c r="B18" s="8">
        <v>3.4000000000000002E-2</v>
      </c>
      <c r="C18" s="9">
        <f>C15*B18</f>
        <v>1.0281123123426981</v>
      </c>
      <c r="F18" t="s">
        <v>143</v>
      </c>
      <c r="H18" s="73">
        <v>3.78E-2</v>
      </c>
    </row>
    <row r="19" spans="1:8" x14ac:dyDescent="0.25">
      <c r="A19" s="5" t="s">
        <v>25</v>
      </c>
      <c r="B19" s="6">
        <v>0.02</v>
      </c>
      <c r="C19" s="9">
        <f>C15*B19</f>
        <v>0.6047719484368812</v>
      </c>
      <c r="F19" t="s">
        <v>144</v>
      </c>
      <c r="H19" s="73">
        <v>1.2999999999999999E-2</v>
      </c>
    </row>
    <row r="20" spans="1:8" x14ac:dyDescent="0.25">
      <c r="A20" s="5" t="s">
        <v>26</v>
      </c>
      <c r="B20" s="8">
        <v>2.3E-2</v>
      </c>
      <c r="C20" s="9">
        <f>C15*B20</f>
        <v>0.69548774070241337</v>
      </c>
      <c r="F20" t="s">
        <v>145</v>
      </c>
      <c r="H20" s="73">
        <v>0.1255</v>
      </c>
    </row>
    <row r="21" spans="1:8" x14ac:dyDescent="0.25">
      <c r="A21" s="5" t="s">
        <v>27</v>
      </c>
      <c r="B21" s="6">
        <v>0.01</v>
      </c>
      <c r="C21" s="9">
        <f>C15*B21</f>
        <v>0.3023859742184406</v>
      </c>
      <c r="F21" t="s">
        <v>146</v>
      </c>
      <c r="H21" s="74">
        <v>0.03</v>
      </c>
    </row>
    <row r="22" spans="1:8" x14ac:dyDescent="0.25">
      <c r="A22" s="16" t="s">
        <v>31</v>
      </c>
      <c r="B22" s="14"/>
      <c r="C22" s="17">
        <f>SUM(C15:C21)</f>
        <v>34.937820333090592</v>
      </c>
      <c r="F22" t="s">
        <v>147</v>
      </c>
      <c r="H22" s="73">
        <v>7.0000000000000001E-3</v>
      </c>
    </row>
    <row r="23" spans="1:8" x14ac:dyDescent="0.25">
      <c r="A23" s="5" t="s">
        <v>32</v>
      </c>
      <c r="B23" s="6">
        <v>0.27</v>
      </c>
      <c r="C23" s="9">
        <f>C22*B23</f>
        <v>9.433211489934461</v>
      </c>
      <c r="F23" t="s">
        <v>148</v>
      </c>
      <c r="H23" s="73">
        <v>3.5000000000000001E-3</v>
      </c>
    </row>
    <row r="24" spans="1:8" x14ac:dyDescent="0.25">
      <c r="A24" s="5" t="s">
        <v>28</v>
      </c>
      <c r="B24" s="14"/>
      <c r="C24" s="9">
        <f>C22+C23</f>
        <v>44.371031823025049</v>
      </c>
      <c r="F24" t="s">
        <v>149</v>
      </c>
      <c r="H24" s="73">
        <v>5.0000000000000001E-3</v>
      </c>
    </row>
    <row r="25" spans="1:8" x14ac:dyDescent="0.25">
      <c r="A25" s="5" t="s">
        <v>29</v>
      </c>
      <c r="B25" s="6">
        <v>0.2</v>
      </c>
      <c r="C25" s="9">
        <f>C24*B25</f>
        <v>8.8742063646050102</v>
      </c>
      <c r="F25" s="23" t="s">
        <v>150</v>
      </c>
      <c r="H25" s="75">
        <f>SUM(H18:H24)</f>
        <v>0.22180000000000002</v>
      </c>
    </row>
    <row r="26" spans="1:8" x14ac:dyDescent="0.25">
      <c r="A26" s="42" t="s">
        <v>30</v>
      </c>
      <c r="B26" s="14"/>
      <c r="C26" s="43">
        <f>C24+C25</f>
        <v>53.245238187630058</v>
      </c>
    </row>
    <row r="27" spans="1:8" x14ac:dyDescent="0.25">
      <c r="A27" s="2"/>
    </row>
    <row r="28" spans="1:8" x14ac:dyDescent="0.25">
      <c r="A28" s="2"/>
      <c r="B28" s="74"/>
      <c r="C28" s="76"/>
    </row>
    <row r="29" spans="1:8" x14ac:dyDescent="0.25">
      <c r="A29" s="80"/>
      <c r="B29" s="83"/>
      <c r="C29" s="82"/>
    </row>
  </sheetData>
  <pageMargins left="0.7" right="0.7" top="0.78740157499999996" bottom="0.78740157499999996"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opLeftCell="A7" workbookViewId="0">
      <selection activeCell="B28" sqref="B28"/>
    </sheetView>
  </sheetViews>
  <sheetFormatPr baseColWidth="10" defaultRowHeight="15" x14ac:dyDescent="0.25"/>
  <cols>
    <col min="1" max="1" width="37.42578125" customWidth="1"/>
    <col min="4" max="4" width="14" customWidth="1"/>
    <col min="5" max="5" width="4" customWidth="1"/>
    <col min="6" max="6" width="26.42578125" customWidth="1"/>
  </cols>
  <sheetData>
    <row r="1" spans="1:7" ht="18.75" x14ac:dyDescent="0.3">
      <c r="A1" s="19" t="s">
        <v>0</v>
      </c>
      <c r="B1" t="s">
        <v>34</v>
      </c>
    </row>
    <row r="3" spans="1:7" ht="15.75" x14ac:dyDescent="0.25">
      <c r="A3" s="3" t="s">
        <v>1</v>
      </c>
      <c r="C3" t="s">
        <v>7</v>
      </c>
      <c r="D3" t="s">
        <v>8</v>
      </c>
      <c r="F3" s="4" t="s">
        <v>2</v>
      </c>
    </row>
    <row r="4" spans="1:7" x14ac:dyDescent="0.25">
      <c r="A4" s="5" t="s">
        <v>122</v>
      </c>
      <c r="B4" s="6">
        <v>1</v>
      </c>
      <c r="C4" s="7">
        <f>'Lohntafel 1.5.16'!C65</f>
        <v>5.5360000000000005</v>
      </c>
      <c r="D4" s="12">
        <f>C4*39*52</f>
        <v>11227.008000000002</v>
      </c>
      <c r="F4" s="5" t="s">
        <v>11</v>
      </c>
      <c r="G4" s="14">
        <f>39*52</f>
        <v>2028</v>
      </c>
    </row>
    <row r="5" spans="1:7" x14ac:dyDescent="0.25">
      <c r="A5" s="5" t="s">
        <v>3</v>
      </c>
      <c r="B5" s="8">
        <f>H33</f>
        <v>0.16630000000000003</v>
      </c>
      <c r="C5" s="9">
        <f>C4*B5</f>
        <v>0.92063680000000025</v>
      </c>
      <c r="D5" s="9">
        <f>D4*B5</f>
        <v>1867.0514304000005</v>
      </c>
      <c r="F5" s="5" t="s">
        <v>12</v>
      </c>
      <c r="G5" s="14">
        <f>5*39</f>
        <v>195</v>
      </c>
    </row>
    <row r="6" spans="1:7" x14ac:dyDescent="0.25">
      <c r="A6" s="5" t="s">
        <v>151</v>
      </c>
      <c r="B6" s="8">
        <f>Facharbeiterstunde!B6</f>
        <v>4.4999999999999998E-2</v>
      </c>
      <c r="C6" s="9">
        <f>C4*B6</f>
        <v>0.24912000000000001</v>
      </c>
      <c r="D6" s="9">
        <f>D4*B6</f>
        <v>505.21536000000003</v>
      </c>
      <c r="F6" s="5" t="s">
        <v>13</v>
      </c>
      <c r="G6" s="14">
        <f>39/5*13</f>
        <v>101.39999999999999</v>
      </c>
    </row>
    <row r="7" spans="1:7" x14ac:dyDescent="0.25">
      <c r="A7" s="5" t="s">
        <v>5</v>
      </c>
      <c r="B7" s="6">
        <v>0.03</v>
      </c>
      <c r="C7" s="9">
        <f>C4*B7</f>
        <v>0.16608000000000001</v>
      </c>
      <c r="D7" s="9">
        <f>D4*B7</f>
        <v>336.81024000000002</v>
      </c>
      <c r="F7" s="5" t="s">
        <v>35</v>
      </c>
      <c r="G7" s="14">
        <f>39*10</f>
        <v>390</v>
      </c>
    </row>
    <row r="8" spans="1:7" x14ac:dyDescent="0.25">
      <c r="A8" s="5" t="s">
        <v>6</v>
      </c>
      <c r="B8" s="6"/>
      <c r="C8" s="9"/>
      <c r="D8" s="9">
        <v>200</v>
      </c>
      <c r="F8" s="5" t="s">
        <v>139</v>
      </c>
      <c r="G8" s="14">
        <f>39*2</f>
        <v>78</v>
      </c>
    </row>
    <row r="9" spans="1:7" x14ac:dyDescent="0.25">
      <c r="A9" s="5" t="s">
        <v>16</v>
      </c>
      <c r="B9" s="8">
        <v>1.5299999999999999E-2</v>
      </c>
      <c r="C9" s="9">
        <f>C4*B9</f>
        <v>8.4700800000000007E-2</v>
      </c>
      <c r="D9" s="9">
        <f>D4*B9</f>
        <v>171.77322240000001</v>
      </c>
      <c r="F9" s="5" t="s">
        <v>140</v>
      </c>
      <c r="G9" s="14">
        <f>39/5*2.2</f>
        <v>17.16</v>
      </c>
    </row>
    <row r="10" spans="1:7" x14ac:dyDescent="0.25">
      <c r="A10" s="5" t="s">
        <v>20</v>
      </c>
      <c r="B10" s="8">
        <v>0.16669999999999999</v>
      </c>
      <c r="C10" s="9"/>
      <c r="D10" s="9">
        <f>(D4+D5+D6+D7)/6</f>
        <v>2322.6808384000005</v>
      </c>
      <c r="F10" s="5" t="s">
        <v>141</v>
      </c>
      <c r="G10" s="14">
        <f>G4/100*3.5</f>
        <v>70.98</v>
      </c>
    </row>
    <row r="11" spans="1:7" x14ac:dyDescent="0.25">
      <c r="A11" s="10" t="s">
        <v>9</v>
      </c>
      <c r="B11" s="11"/>
      <c r="C11" s="12">
        <f>C4+C5+C6+C7+C9</f>
        <v>6.9565376000000017</v>
      </c>
      <c r="D11" s="13">
        <f>SUM(D4:D10)</f>
        <v>16630.539091200004</v>
      </c>
      <c r="F11" s="10" t="s">
        <v>18</v>
      </c>
      <c r="G11" s="11">
        <f>G4-(G5+G6+G7+G8++G9+G10)</f>
        <v>1175.46</v>
      </c>
    </row>
    <row r="12" spans="1:7" x14ac:dyDescent="0.25">
      <c r="A12" s="2"/>
      <c r="C12" s="1" t="s">
        <v>10</v>
      </c>
      <c r="F12" s="2"/>
    </row>
    <row r="13" spans="1:7" x14ac:dyDescent="0.25">
      <c r="A13" s="2"/>
      <c r="F13" s="2"/>
    </row>
    <row r="14" spans="1:7" x14ac:dyDescent="0.25">
      <c r="A14" s="2"/>
      <c r="F14" s="2"/>
    </row>
    <row r="15" spans="1:7" x14ac:dyDescent="0.25">
      <c r="A15" s="10" t="s">
        <v>21</v>
      </c>
      <c r="B15" s="14"/>
      <c r="C15" s="13">
        <f>D11/G11</f>
        <v>14.148111455260072</v>
      </c>
      <c r="F15" s="11" t="s">
        <v>19</v>
      </c>
      <c r="G15" s="18">
        <f>C15*100/C4-100</f>
        <v>155.56559709646081</v>
      </c>
    </row>
    <row r="16" spans="1:7" x14ac:dyDescent="0.25">
      <c r="A16" s="5" t="s">
        <v>22</v>
      </c>
      <c r="B16" s="14">
        <f>10.5/8</f>
        <v>1.3125</v>
      </c>
      <c r="C16" s="15">
        <f>B16</f>
        <v>1.3125</v>
      </c>
    </row>
    <row r="17" spans="1:8" x14ac:dyDescent="0.25">
      <c r="A17" s="5" t="s">
        <v>23</v>
      </c>
      <c r="B17" s="8">
        <v>2.5000000000000001E-2</v>
      </c>
      <c r="C17" s="9">
        <f>C15*B17</f>
        <v>0.35370278638150182</v>
      </c>
    </row>
    <row r="18" spans="1:8" x14ac:dyDescent="0.25">
      <c r="A18" s="5" t="s">
        <v>24</v>
      </c>
      <c r="B18" s="8">
        <v>3.4000000000000002E-2</v>
      </c>
      <c r="C18" s="9">
        <f>C15*B18</f>
        <v>0.48103578947884246</v>
      </c>
      <c r="F18" s="23" t="s">
        <v>36</v>
      </c>
    </row>
    <row r="19" spans="1:8" x14ac:dyDescent="0.25">
      <c r="A19" s="5" t="s">
        <v>25</v>
      </c>
      <c r="B19" s="6">
        <v>0.02</v>
      </c>
      <c r="C19" s="9">
        <f>C15*B19</f>
        <v>0.28296222910520141</v>
      </c>
      <c r="F19" s="20" t="s">
        <v>37</v>
      </c>
      <c r="G19" s="21">
        <v>925.47</v>
      </c>
    </row>
    <row r="20" spans="1:8" x14ac:dyDescent="0.25">
      <c r="A20" s="5" t="s">
        <v>26</v>
      </c>
      <c r="B20" s="8">
        <v>2.3E-2</v>
      </c>
      <c r="C20" s="9">
        <f>C15*B20</f>
        <v>0.32540656347098162</v>
      </c>
      <c r="F20" s="20" t="s">
        <v>38</v>
      </c>
      <c r="G20" s="22" t="s">
        <v>39</v>
      </c>
    </row>
    <row r="21" spans="1:8" x14ac:dyDescent="0.25">
      <c r="A21" s="5" t="s">
        <v>27</v>
      </c>
      <c r="B21" s="6">
        <v>0.01</v>
      </c>
      <c r="C21" s="9">
        <f>C15*B21</f>
        <v>0.14148111455260071</v>
      </c>
      <c r="F21" s="20" t="s">
        <v>40</v>
      </c>
      <c r="G21" s="22" t="s">
        <v>41</v>
      </c>
    </row>
    <row r="22" spans="1:8" x14ac:dyDescent="0.25">
      <c r="A22" s="16" t="s">
        <v>31</v>
      </c>
      <c r="B22" s="14"/>
      <c r="C22" s="17">
        <f>SUM(C15:C21)</f>
        <v>17.045199938249201</v>
      </c>
      <c r="F22" s="20" t="s">
        <v>42</v>
      </c>
      <c r="G22" s="22" t="s">
        <v>43</v>
      </c>
    </row>
    <row r="23" spans="1:8" ht="60" x14ac:dyDescent="0.25">
      <c r="A23" s="5" t="s">
        <v>32</v>
      </c>
      <c r="B23" s="6">
        <v>0.27</v>
      </c>
      <c r="C23" s="9">
        <f>C22*B23</f>
        <v>4.6022039833272848</v>
      </c>
      <c r="F23" s="20" t="s">
        <v>44</v>
      </c>
      <c r="G23" s="22" t="s">
        <v>41</v>
      </c>
    </row>
    <row r="24" spans="1:8" x14ac:dyDescent="0.25">
      <c r="A24" s="5" t="s">
        <v>28</v>
      </c>
      <c r="B24" s="14"/>
      <c r="C24" s="9">
        <f>C22+C23</f>
        <v>21.647403921576487</v>
      </c>
    </row>
    <row r="25" spans="1:8" x14ac:dyDescent="0.25">
      <c r="A25" s="5" t="s">
        <v>29</v>
      </c>
      <c r="B25" s="6">
        <v>0.2</v>
      </c>
      <c r="C25" s="9">
        <f>C24*B25</f>
        <v>4.3294807843152974</v>
      </c>
      <c r="F25" s="23" t="s">
        <v>142</v>
      </c>
    </row>
    <row r="26" spans="1:8" x14ac:dyDescent="0.25">
      <c r="A26" s="84" t="s">
        <v>30</v>
      </c>
      <c r="B26" s="85"/>
      <c r="C26" s="86">
        <f>C24+C25</f>
        <v>25.976884705891784</v>
      </c>
      <c r="F26" t="s">
        <v>143</v>
      </c>
      <c r="H26" s="73">
        <v>1.6799999999999999E-2</v>
      </c>
    </row>
    <row r="27" spans="1:8" x14ac:dyDescent="0.25">
      <c r="A27" s="87"/>
      <c r="B27" s="88"/>
      <c r="C27" s="89"/>
      <c r="F27" t="s">
        <v>144</v>
      </c>
      <c r="H27" s="73" t="s">
        <v>10</v>
      </c>
    </row>
    <row r="28" spans="1:8" x14ac:dyDescent="0.25">
      <c r="A28" s="80"/>
      <c r="B28" s="81"/>
      <c r="C28" s="82"/>
      <c r="F28" t="s">
        <v>145</v>
      </c>
      <c r="H28" s="73">
        <v>0.1255</v>
      </c>
    </row>
    <row r="29" spans="1:8" x14ac:dyDescent="0.25">
      <c r="F29" t="s">
        <v>146</v>
      </c>
      <c r="H29" s="73">
        <v>1.2E-2</v>
      </c>
    </row>
    <row r="30" spans="1:8" x14ac:dyDescent="0.25">
      <c r="F30" t="s">
        <v>147</v>
      </c>
      <c r="H30" s="73">
        <v>7.0000000000000001E-3</v>
      </c>
    </row>
    <row r="31" spans="1:8" x14ac:dyDescent="0.25">
      <c r="F31" t="s">
        <v>148</v>
      </c>
      <c r="H31" s="73" t="s">
        <v>10</v>
      </c>
    </row>
    <row r="32" spans="1:8" x14ac:dyDescent="0.25">
      <c r="F32" t="s">
        <v>149</v>
      </c>
      <c r="H32" s="73">
        <v>5.0000000000000001E-3</v>
      </c>
    </row>
    <row r="33" spans="6:8" x14ac:dyDescent="0.25">
      <c r="F33" s="23" t="s">
        <v>150</v>
      </c>
      <c r="H33" s="75">
        <f>SUM(H26:H32)</f>
        <v>0.16630000000000003</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abSelected="1" topLeftCell="A7" workbookViewId="0">
      <selection activeCell="D27" sqref="D27"/>
    </sheetView>
  </sheetViews>
  <sheetFormatPr baseColWidth="10" defaultRowHeight="15" x14ac:dyDescent="0.25"/>
  <cols>
    <col min="1" max="1" width="36" customWidth="1"/>
    <col min="4" max="4" width="16.5703125" customWidth="1"/>
    <col min="5" max="5" width="2.85546875" customWidth="1"/>
    <col min="6" max="6" width="31.42578125" customWidth="1"/>
    <col min="7" max="7" width="15.85546875" customWidth="1"/>
  </cols>
  <sheetData>
    <row r="1" spans="1:7" ht="18.75" x14ac:dyDescent="0.3">
      <c r="A1" s="19" t="s">
        <v>0</v>
      </c>
      <c r="B1" t="s">
        <v>34</v>
      </c>
    </row>
    <row r="3" spans="1:7" ht="15.75" x14ac:dyDescent="0.25">
      <c r="A3" s="3" t="s">
        <v>1</v>
      </c>
      <c r="C3" t="s">
        <v>7</v>
      </c>
      <c r="D3" t="s">
        <v>8</v>
      </c>
      <c r="F3" s="4" t="s">
        <v>2</v>
      </c>
    </row>
    <row r="4" spans="1:7" x14ac:dyDescent="0.25">
      <c r="A4" s="5" t="s">
        <v>123</v>
      </c>
      <c r="B4" s="6">
        <v>1</v>
      </c>
      <c r="C4" s="7">
        <f>'Lohntafel 1.5.16'!C66</f>
        <v>8.3040000000000003</v>
      </c>
      <c r="D4" s="7">
        <f>C4*39*52</f>
        <v>16840.511999999999</v>
      </c>
      <c r="F4" s="5" t="s">
        <v>11</v>
      </c>
      <c r="G4" s="14">
        <f>39*52</f>
        <v>2028</v>
      </c>
    </row>
    <row r="5" spans="1:7" x14ac:dyDescent="0.25">
      <c r="A5" s="5" t="s">
        <v>3</v>
      </c>
      <c r="B5" s="8">
        <f>H33</f>
        <v>0.16630000000000003</v>
      </c>
      <c r="C5" s="9">
        <f>C4*B5</f>
        <v>1.3809552000000003</v>
      </c>
      <c r="D5" s="9">
        <f>D4*B5</f>
        <v>2800.5771456000002</v>
      </c>
      <c r="F5" s="5" t="s">
        <v>12</v>
      </c>
      <c r="G5" s="14">
        <f>5*39</f>
        <v>195</v>
      </c>
    </row>
    <row r="6" spans="1:7" x14ac:dyDescent="0.25">
      <c r="A6" s="5" t="s">
        <v>4</v>
      </c>
      <c r="B6" s="8">
        <f>Facharbeiterstunde!B6</f>
        <v>4.4999999999999998E-2</v>
      </c>
      <c r="C6" s="9">
        <f>C4*B6</f>
        <v>0.37368000000000001</v>
      </c>
      <c r="D6" s="9">
        <f>D4*B6</f>
        <v>757.82303999999988</v>
      </c>
      <c r="F6" s="5" t="s">
        <v>13</v>
      </c>
      <c r="G6" s="14">
        <f>39/5*13</f>
        <v>101.39999999999999</v>
      </c>
    </row>
    <row r="7" spans="1:7" x14ac:dyDescent="0.25">
      <c r="A7" s="5" t="s">
        <v>5</v>
      </c>
      <c r="B7" s="6">
        <v>0.03</v>
      </c>
      <c r="C7" s="9">
        <f>C4*B7</f>
        <v>0.24912000000000001</v>
      </c>
      <c r="D7" s="9">
        <f>D4*B7</f>
        <v>505.21535999999992</v>
      </c>
      <c r="F7" s="5" t="s">
        <v>35</v>
      </c>
      <c r="G7" s="14">
        <f>39*10</f>
        <v>390</v>
      </c>
    </row>
    <row r="8" spans="1:7" x14ac:dyDescent="0.25">
      <c r="A8" s="5" t="s">
        <v>6</v>
      </c>
      <c r="B8" s="6"/>
      <c r="C8" s="9"/>
      <c r="D8" s="9">
        <v>200</v>
      </c>
      <c r="F8" s="5" t="s">
        <v>139</v>
      </c>
      <c r="G8" s="14">
        <f>39*2</f>
        <v>78</v>
      </c>
    </row>
    <row r="9" spans="1:7" x14ac:dyDescent="0.25">
      <c r="A9" s="5" t="s">
        <v>16</v>
      </c>
      <c r="B9" s="8">
        <v>1.5299999999999999E-2</v>
      </c>
      <c r="C9" s="9">
        <f>C4*B9</f>
        <v>0.1270512</v>
      </c>
      <c r="D9" s="9">
        <f>D4*B9</f>
        <v>257.65983359999996</v>
      </c>
      <c r="F9" s="5" t="s">
        <v>140</v>
      </c>
      <c r="G9" s="14">
        <f>39/5*2.2</f>
        <v>17.16</v>
      </c>
    </row>
    <row r="10" spans="1:7" x14ac:dyDescent="0.25">
      <c r="A10" s="5" t="s">
        <v>20</v>
      </c>
      <c r="B10" s="6">
        <v>0.16669999999999999</v>
      </c>
      <c r="C10" s="9"/>
      <c r="D10" s="9">
        <f>(D4+D5+D6+D7)/6</f>
        <v>3484.0212575999994</v>
      </c>
      <c r="F10" s="5" t="s">
        <v>141</v>
      </c>
      <c r="G10" s="14">
        <f>G4/100*3.5</f>
        <v>70.98</v>
      </c>
    </row>
    <row r="11" spans="1:7" x14ac:dyDescent="0.25">
      <c r="A11" s="10" t="s">
        <v>9</v>
      </c>
      <c r="B11" s="11"/>
      <c r="C11" s="12">
        <f>C4+C5+C6+C7+C9</f>
        <v>10.434806400000001</v>
      </c>
      <c r="D11" s="13">
        <f>SUM(D4:D10)</f>
        <v>24845.808636799993</v>
      </c>
      <c r="F11" s="10" t="s">
        <v>18</v>
      </c>
      <c r="G11" s="11">
        <f>G4-(G5+G6+G7+G8++G9+G10)</f>
        <v>1175.46</v>
      </c>
    </row>
    <row r="12" spans="1:7" x14ac:dyDescent="0.25">
      <c r="A12" s="2"/>
      <c r="C12" s="1" t="s">
        <v>10</v>
      </c>
      <c r="F12" s="2"/>
    </row>
    <row r="13" spans="1:7" x14ac:dyDescent="0.25">
      <c r="A13" s="2"/>
      <c r="F13" s="2"/>
    </row>
    <row r="14" spans="1:7" x14ac:dyDescent="0.25">
      <c r="A14" s="2"/>
      <c r="F14" s="2"/>
    </row>
    <row r="15" spans="1:7" x14ac:dyDescent="0.25">
      <c r="A15" s="10" t="s">
        <v>21</v>
      </c>
      <c r="B15" s="14"/>
      <c r="C15" s="9">
        <f>D11/G11</f>
        <v>21.137094105116287</v>
      </c>
      <c r="F15" s="11" t="s">
        <v>19</v>
      </c>
      <c r="G15" s="79">
        <f>C15*100/C4-100</f>
        <v>154.54111398261421</v>
      </c>
    </row>
    <row r="16" spans="1:7" x14ac:dyDescent="0.25">
      <c r="A16" s="5" t="s">
        <v>22</v>
      </c>
      <c r="B16" s="14">
        <f>10.5/8</f>
        <v>1.3125</v>
      </c>
      <c r="C16" s="15">
        <f>B16</f>
        <v>1.3125</v>
      </c>
    </row>
    <row r="17" spans="1:8" x14ac:dyDescent="0.25">
      <c r="A17" s="5" t="s">
        <v>23</v>
      </c>
      <c r="B17" s="8">
        <v>2.5000000000000001E-2</v>
      </c>
      <c r="C17" s="9">
        <f>C15*B17</f>
        <v>0.52842735262790719</v>
      </c>
    </row>
    <row r="18" spans="1:8" x14ac:dyDescent="0.25">
      <c r="A18" s="5" t="s">
        <v>24</v>
      </c>
      <c r="B18" s="8">
        <v>3.4000000000000002E-2</v>
      </c>
      <c r="C18" s="9">
        <f>C15*B18</f>
        <v>0.7186611995739538</v>
      </c>
      <c r="F18" s="23" t="s">
        <v>156</v>
      </c>
    </row>
    <row r="19" spans="1:8" x14ac:dyDescent="0.25">
      <c r="A19" s="5" t="s">
        <v>157</v>
      </c>
      <c r="B19" s="6">
        <v>0.02</v>
      </c>
      <c r="C19" s="9">
        <f>C15*B19</f>
        <v>0.42274188210232572</v>
      </c>
      <c r="F19" s="20" t="s">
        <v>37</v>
      </c>
      <c r="G19" s="21">
        <f>'Lohntafel 1.5.16'!C10*0.4*169.5</f>
        <v>938.35200000000009</v>
      </c>
    </row>
    <row r="20" spans="1:8" x14ac:dyDescent="0.25">
      <c r="A20" s="5" t="s">
        <v>26</v>
      </c>
      <c r="B20" s="8">
        <v>2.3E-2</v>
      </c>
      <c r="C20" s="9">
        <f>C15*B20</f>
        <v>0.48615316441767459</v>
      </c>
      <c r="F20" s="20" t="s">
        <v>38</v>
      </c>
      <c r="G20" s="22">
        <f>'Lohntafel 1.5.16'!C10*0.6*169.5</f>
        <v>1407.528</v>
      </c>
    </row>
    <row r="21" spans="1:8" x14ac:dyDescent="0.25">
      <c r="A21" s="5" t="s">
        <v>27</v>
      </c>
      <c r="B21" s="6">
        <v>0.01</v>
      </c>
      <c r="C21" s="9">
        <f>C15*B21</f>
        <v>0.21137094105116286</v>
      </c>
      <c r="F21" s="20" t="s">
        <v>40</v>
      </c>
      <c r="G21" s="22">
        <f>'Lohntafel 1.5.16'!C10*0.8*169.5</f>
        <v>1876.7040000000002</v>
      </c>
    </row>
    <row r="22" spans="1:8" x14ac:dyDescent="0.25">
      <c r="A22" s="16" t="s">
        <v>31</v>
      </c>
      <c r="B22" s="14"/>
      <c r="C22" s="17">
        <f>SUM(C15:C21)</f>
        <v>24.816948644889315</v>
      </c>
      <c r="F22" s="20" t="s">
        <v>42</v>
      </c>
      <c r="G22" s="22">
        <f>'Lohntafel 1.5.16'!C10*0.9*169.5</f>
        <v>2111.2919999999999</v>
      </c>
    </row>
    <row r="23" spans="1:8" ht="45" x14ac:dyDescent="0.25">
      <c r="A23" s="5" t="s">
        <v>32</v>
      </c>
      <c r="B23" s="6">
        <v>0.27</v>
      </c>
      <c r="C23" s="9">
        <f>C22*B23</f>
        <v>6.7005761341201158</v>
      </c>
      <c r="F23" s="20" t="s">
        <v>44</v>
      </c>
      <c r="G23" s="22">
        <f>G21</f>
        <v>1876.7040000000002</v>
      </c>
    </row>
    <row r="24" spans="1:8" x14ac:dyDescent="0.25">
      <c r="A24" s="5" t="s">
        <v>28</v>
      </c>
      <c r="B24" s="14"/>
      <c r="C24" s="9">
        <f>C22+C23</f>
        <v>31.517524779009431</v>
      </c>
    </row>
    <row r="25" spans="1:8" x14ac:dyDescent="0.25">
      <c r="A25" s="5" t="s">
        <v>29</v>
      </c>
      <c r="B25" s="6">
        <v>0.2</v>
      </c>
      <c r="C25" s="9">
        <f>C24*B25</f>
        <v>6.3035049558018867</v>
      </c>
      <c r="F25" s="23" t="s">
        <v>142</v>
      </c>
    </row>
    <row r="26" spans="1:8" x14ac:dyDescent="0.25">
      <c r="A26" s="42" t="s">
        <v>30</v>
      </c>
      <c r="B26" s="14"/>
      <c r="C26" s="43">
        <f>C24+C25</f>
        <v>37.821029734811319</v>
      </c>
      <c r="F26" t="s">
        <v>143</v>
      </c>
      <c r="H26" s="73">
        <v>1.6799999999999999E-2</v>
      </c>
    </row>
    <row r="27" spans="1:8" x14ac:dyDescent="0.25">
      <c r="A27" s="77" t="s">
        <v>10</v>
      </c>
      <c r="B27" s="74" t="s">
        <v>10</v>
      </c>
      <c r="C27" s="76" t="s">
        <v>10</v>
      </c>
      <c r="F27" t="s">
        <v>144</v>
      </c>
      <c r="H27" s="73" t="s">
        <v>10</v>
      </c>
    </row>
    <row r="28" spans="1:8" x14ac:dyDescent="0.25">
      <c r="A28" s="80" t="s">
        <v>158</v>
      </c>
      <c r="B28" s="81"/>
      <c r="C28" s="82" t="s">
        <v>10</v>
      </c>
      <c r="F28" t="s">
        <v>145</v>
      </c>
      <c r="H28" s="73">
        <v>0.1255</v>
      </c>
    </row>
    <row r="29" spans="1:8" x14ac:dyDescent="0.25">
      <c r="F29" t="s">
        <v>146</v>
      </c>
      <c r="H29" s="73">
        <v>1.2E-2</v>
      </c>
    </row>
    <row r="30" spans="1:8" x14ac:dyDescent="0.25">
      <c r="F30" t="s">
        <v>147</v>
      </c>
      <c r="H30" s="73">
        <v>7.0000000000000001E-3</v>
      </c>
    </row>
    <row r="31" spans="1:8" x14ac:dyDescent="0.25">
      <c r="F31" t="s">
        <v>148</v>
      </c>
      <c r="H31" s="73" t="s">
        <v>10</v>
      </c>
    </row>
    <row r="32" spans="1:8" x14ac:dyDescent="0.25">
      <c r="F32" t="s">
        <v>149</v>
      </c>
      <c r="H32" s="73">
        <v>5.0000000000000001E-3</v>
      </c>
    </row>
    <row r="33" spans="6:8" x14ac:dyDescent="0.25">
      <c r="F33" s="23" t="s">
        <v>153</v>
      </c>
      <c r="H33" s="75">
        <f>SUM(H26:H32)</f>
        <v>0.16630000000000003</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workbookViewId="0">
      <selection activeCell="C73" sqref="C73"/>
    </sheetView>
  </sheetViews>
  <sheetFormatPr baseColWidth="10" defaultRowHeight="15" x14ac:dyDescent="0.25"/>
  <cols>
    <col min="1" max="1" width="11.42578125" customWidth="1"/>
    <col min="2" max="2" width="60.85546875" customWidth="1"/>
    <col min="3" max="3" width="23.5703125" customWidth="1"/>
  </cols>
  <sheetData>
    <row r="1" spans="1:3" ht="18.75" x14ac:dyDescent="0.3">
      <c r="A1" s="19" t="s">
        <v>45</v>
      </c>
      <c r="B1" s="19"/>
      <c r="C1" s="19"/>
    </row>
    <row r="2" spans="1:3" ht="18.75" x14ac:dyDescent="0.3">
      <c r="A2" s="67" t="s">
        <v>46</v>
      </c>
      <c r="B2" s="68"/>
      <c r="C2" s="24" t="s">
        <v>152</v>
      </c>
    </row>
    <row r="3" spans="1:3" ht="18.75" x14ac:dyDescent="0.3">
      <c r="A3" s="69"/>
      <c r="B3" s="70"/>
      <c r="C3" s="25" t="s">
        <v>47</v>
      </c>
    </row>
    <row r="4" spans="1:3" ht="18.75" x14ac:dyDescent="0.3">
      <c r="A4" s="71"/>
      <c r="B4" s="72"/>
      <c r="C4" s="26" t="s">
        <v>48</v>
      </c>
    </row>
    <row r="5" spans="1:3" ht="15" customHeight="1" x14ac:dyDescent="0.25">
      <c r="A5" s="61" t="s">
        <v>49</v>
      </c>
      <c r="B5" s="63"/>
      <c r="C5" s="52">
        <v>15.62</v>
      </c>
    </row>
    <row r="6" spans="1:3" ht="15" customHeight="1" x14ac:dyDescent="0.25">
      <c r="A6" s="64" t="s">
        <v>50</v>
      </c>
      <c r="B6" s="66"/>
      <c r="C6" s="54"/>
    </row>
    <row r="7" spans="1:3" ht="15" customHeight="1" x14ac:dyDescent="0.25">
      <c r="A7" s="61" t="s">
        <v>51</v>
      </c>
      <c r="B7" s="62"/>
      <c r="C7" s="63"/>
    </row>
    <row r="8" spans="1:3" ht="30" customHeight="1" x14ac:dyDescent="0.25">
      <c r="A8" s="64" t="s">
        <v>52</v>
      </c>
      <c r="B8" s="65"/>
      <c r="C8" s="66"/>
    </row>
    <row r="9" spans="1:3" ht="18.75" x14ac:dyDescent="0.3">
      <c r="A9" s="27" t="s">
        <v>53</v>
      </c>
      <c r="B9" s="28" t="s">
        <v>54</v>
      </c>
      <c r="C9" s="29">
        <v>15.2</v>
      </c>
    </row>
    <row r="10" spans="1:3" ht="18.75" x14ac:dyDescent="0.3">
      <c r="A10" s="27" t="s">
        <v>55</v>
      </c>
      <c r="B10" s="28" t="s">
        <v>56</v>
      </c>
      <c r="C10" s="29">
        <v>13.84</v>
      </c>
    </row>
    <row r="11" spans="1:3" ht="15" customHeight="1" x14ac:dyDescent="0.25">
      <c r="A11" s="61" t="s">
        <v>57</v>
      </c>
      <c r="B11" s="62"/>
      <c r="C11" s="63"/>
    </row>
    <row r="12" spans="1:3" ht="15" customHeight="1" x14ac:dyDescent="0.25">
      <c r="A12" s="64" t="s">
        <v>58</v>
      </c>
      <c r="B12" s="65"/>
      <c r="C12" s="66"/>
    </row>
    <row r="13" spans="1:3" ht="18.75" x14ac:dyDescent="0.25">
      <c r="A13" s="58" t="s">
        <v>53</v>
      </c>
      <c r="B13" s="30" t="s">
        <v>59</v>
      </c>
      <c r="C13" s="52">
        <v>13.83</v>
      </c>
    </row>
    <row r="14" spans="1:3" ht="18.75" x14ac:dyDescent="0.25">
      <c r="A14" s="59"/>
      <c r="B14" s="31" t="s">
        <v>60</v>
      </c>
      <c r="C14" s="53"/>
    </row>
    <row r="15" spans="1:3" ht="18.75" x14ac:dyDescent="0.25">
      <c r="A15" s="59"/>
      <c r="B15" s="31" t="s">
        <v>61</v>
      </c>
      <c r="C15" s="53"/>
    </row>
    <row r="16" spans="1:3" ht="18.75" x14ac:dyDescent="0.25">
      <c r="A16" s="59"/>
      <c r="B16" s="31" t="s">
        <v>62</v>
      </c>
      <c r="C16" s="53"/>
    </row>
    <row r="17" spans="1:3" ht="18.75" x14ac:dyDescent="0.25">
      <c r="A17" s="59"/>
      <c r="B17" s="31" t="s">
        <v>63</v>
      </c>
      <c r="C17" s="53"/>
    </row>
    <row r="18" spans="1:3" ht="37.5" x14ac:dyDescent="0.25">
      <c r="A18" s="59"/>
      <c r="B18" s="31" t="s">
        <v>64</v>
      </c>
      <c r="C18" s="53"/>
    </row>
    <row r="19" spans="1:3" ht="56.25" x14ac:dyDescent="0.25">
      <c r="A19" s="59"/>
      <c r="B19" s="31" t="s">
        <v>65</v>
      </c>
      <c r="C19" s="53"/>
    </row>
    <row r="20" spans="1:3" ht="37.5" x14ac:dyDescent="0.25">
      <c r="A20" s="59"/>
      <c r="B20" s="31" t="s">
        <v>66</v>
      </c>
      <c r="C20" s="53"/>
    </row>
    <row r="21" spans="1:3" ht="18.75" x14ac:dyDescent="0.25">
      <c r="A21" s="59"/>
      <c r="B21" s="31" t="s">
        <v>67</v>
      </c>
      <c r="C21" s="53"/>
    </row>
    <row r="22" spans="1:3" ht="37.5" x14ac:dyDescent="0.25">
      <c r="A22" s="59"/>
      <c r="B22" s="31" t="s">
        <v>68</v>
      </c>
      <c r="C22" s="53"/>
    </row>
    <row r="23" spans="1:3" ht="56.25" x14ac:dyDescent="0.25">
      <c r="A23" s="59"/>
      <c r="B23" s="31" t="s">
        <v>69</v>
      </c>
      <c r="C23" s="53"/>
    </row>
    <row r="24" spans="1:3" ht="18.75" x14ac:dyDescent="0.25">
      <c r="A24" s="59"/>
      <c r="B24" s="31" t="s">
        <v>70</v>
      </c>
      <c r="C24" s="53"/>
    </row>
    <row r="25" spans="1:3" ht="18.75" x14ac:dyDescent="0.25">
      <c r="A25" s="59"/>
      <c r="B25" s="31" t="s">
        <v>71</v>
      </c>
      <c r="C25" s="53"/>
    </row>
    <row r="26" spans="1:3" ht="37.5" x14ac:dyDescent="0.25">
      <c r="A26" s="60"/>
      <c r="B26" s="32" t="s">
        <v>72</v>
      </c>
      <c r="C26" s="54"/>
    </row>
    <row r="27" spans="1:3" ht="37.5" x14ac:dyDescent="0.25">
      <c r="A27" s="58" t="s">
        <v>55</v>
      </c>
      <c r="B27" s="30" t="s">
        <v>73</v>
      </c>
      <c r="C27" s="52">
        <v>13.52</v>
      </c>
    </row>
    <row r="28" spans="1:3" ht="37.5" x14ac:dyDescent="0.25">
      <c r="A28" s="59"/>
      <c r="B28" s="31" t="s">
        <v>74</v>
      </c>
      <c r="C28" s="53"/>
    </row>
    <row r="29" spans="1:3" ht="37.5" x14ac:dyDescent="0.25">
      <c r="A29" s="59"/>
      <c r="B29" s="31" t="s">
        <v>75</v>
      </c>
      <c r="C29" s="53"/>
    </row>
    <row r="30" spans="1:3" ht="37.5" x14ac:dyDescent="0.25">
      <c r="A30" s="59"/>
      <c r="B30" s="31" t="s">
        <v>76</v>
      </c>
      <c r="C30" s="53"/>
    </row>
    <row r="31" spans="1:3" ht="18.75" x14ac:dyDescent="0.25">
      <c r="A31" s="59"/>
      <c r="B31" s="31" t="s">
        <v>77</v>
      </c>
      <c r="C31" s="53"/>
    </row>
    <row r="32" spans="1:3" ht="18.75" x14ac:dyDescent="0.25">
      <c r="A32" s="59"/>
      <c r="B32" s="31" t="s">
        <v>78</v>
      </c>
      <c r="C32" s="53"/>
    </row>
    <row r="33" spans="1:3" ht="18.75" x14ac:dyDescent="0.25">
      <c r="A33" s="59"/>
      <c r="B33" s="31" t="s">
        <v>79</v>
      </c>
      <c r="C33" s="53"/>
    </row>
    <row r="34" spans="1:3" ht="18.75" x14ac:dyDescent="0.25">
      <c r="A34" s="59"/>
      <c r="B34" s="31" t="s">
        <v>80</v>
      </c>
      <c r="C34" s="53"/>
    </row>
    <row r="35" spans="1:3" ht="18.75" x14ac:dyDescent="0.25">
      <c r="A35" s="60"/>
      <c r="B35" s="32" t="s">
        <v>81</v>
      </c>
      <c r="C35" s="54"/>
    </row>
    <row r="36" spans="1:3" ht="18.75" x14ac:dyDescent="0.25">
      <c r="A36" s="58" t="s">
        <v>82</v>
      </c>
      <c r="B36" s="30" t="s">
        <v>83</v>
      </c>
      <c r="C36" s="52">
        <v>13.22</v>
      </c>
    </row>
    <row r="37" spans="1:3" ht="18.75" x14ac:dyDescent="0.25">
      <c r="A37" s="59"/>
      <c r="B37" s="31" t="s">
        <v>84</v>
      </c>
      <c r="C37" s="53"/>
    </row>
    <row r="38" spans="1:3" ht="18.75" x14ac:dyDescent="0.25">
      <c r="A38" s="59"/>
      <c r="B38" s="31" t="s">
        <v>85</v>
      </c>
      <c r="C38" s="53"/>
    </row>
    <row r="39" spans="1:3" ht="18.75" x14ac:dyDescent="0.25">
      <c r="A39" s="60"/>
      <c r="B39" s="32" t="s">
        <v>86</v>
      </c>
      <c r="C39" s="54"/>
    </row>
    <row r="40" spans="1:3" ht="18.75" x14ac:dyDescent="0.25">
      <c r="A40" s="58" t="s">
        <v>87</v>
      </c>
      <c r="B40" s="30" t="s">
        <v>88</v>
      </c>
      <c r="C40" s="52">
        <v>12.88</v>
      </c>
    </row>
    <row r="41" spans="1:3" ht="75" x14ac:dyDescent="0.25">
      <c r="A41" s="59"/>
      <c r="B41" s="31" t="s">
        <v>89</v>
      </c>
      <c r="C41" s="53"/>
    </row>
    <row r="42" spans="1:3" ht="18.75" x14ac:dyDescent="0.25">
      <c r="A42" s="59"/>
      <c r="B42" s="31" t="s">
        <v>90</v>
      </c>
      <c r="C42" s="53"/>
    </row>
    <row r="43" spans="1:3" ht="18.75" x14ac:dyDescent="0.25">
      <c r="A43" s="59"/>
      <c r="B43" s="31" t="s">
        <v>91</v>
      </c>
      <c r="C43" s="53"/>
    </row>
    <row r="44" spans="1:3" ht="56.25" x14ac:dyDescent="0.25">
      <c r="A44" s="59"/>
      <c r="B44" s="31" t="s">
        <v>92</v>
      </c>
      <c r="C44" s="53"/>
    </row>
    <row r="45" spans="1:3" ht="18.75" x14ac:dyDescent="0.25">
      <c r="A45" s="59"/>
      <c r="B45" s="31" t="s">
        <v>93</v>
      </c>
      <c r="C45" s="53"/>
    </row>
    <row r="46" spans="1:3" ht="18.75" x14ac:dyDescent="0.25">
      <c r="A46" s="59"/>
      <c r="B46" s="31" t="s">
        <v>94</v>
      </c>
      <c r="C46" s="53"/>
    </row>
    <row r="47" spans="1:3" ht="18.75" x14ac:dyDescent="0.25">
      <c r="A47" s="59"/>
      <c r="B47" s="31" t="s">
        <v>95</v>
      </c>
      <c r="C47" s="53"/>
    </row>
    <row r="48" spans="1:3" ht="18.75" x14ac:dyDescent="0.25">
      <c r="A48" s="59"/>
      <c r="B48" s="31" t="s">
        <v>96</v>
      </c>
      <c r="C48" s="53"/>
    </row>
    <row r="49" spans="1:3" ht="75" x14ac:dyDescent="0.25">
      <c r="A49" s="59"/>
      <c r="B49" s="31" t="s">
        <v>97</v>
      </c>
      <c r="C49" s="53"/>
    </row>
    <row r="50" spans="1:3" ht="18.75" x14ac:dyDescent="0.25">
      <c r="A50" s="59"/>
      <c r="B50" s="31" t="s">
        <v>98</v>
      </c>
      <c r="C50" s="53"/>
    </row>
    <row r="51" spans="1:3" ht="18.75" x14ac:dyDescent="0.25">
      <c r="A51" s="60"/>
      <c r="B51" s="32" t="s">
        <v>99</v>
      </c>
      <c r="C51" s="54"/>
    </row>
    <row r="52" spans="1:3" ht="18.75" x14ac:dyDescent="0.25">
      <c r="A52" s="58" t="s">
        <v>100</v>
      </c>
      <c r="B52" s="30" t="s">
        <v>101</v>
      </c>
      <c r="C52" s="52">
        <v>12.41</v>
      </c>
    </row>
    <row r="53" spans="1:3" ht="18.75" x14ac:dyDescent="0.25">
      <c r="A53" s="59"/>
      <c r="B53" s="31" t="s">
        <v>102</v>
      </c>
      <c r="C53" s="53"/>
    </row>
    <row r="54" spans="1:3" ht="18.75" x14ac:dyDescent="0.25">
      <c r="A54" s="59"/>
      <c r="B54" s="31" t="s">
        <v>103</v>
      </c>
      <c r="C54" s="53"/>
    </row>
    <row r="55" spans="1:3" ht="18.75" x14ac:dyDescent="0.25">
      <c r="A55" s="59"/>
      <c r="B55" s="31" t="s">
        <v>104</v>
      </c>
      <c r="C55" s="53"/>
    </row>
    <row r="56" spans="1:3" ht="18.75" x14ac:dyDescent="0.25">
      <c r="A56" s="60"/>
      <c r="B56" s="32" t="s">
        <v>105</v>
      </c>
      <c r="C56" s="54"/>
    </row>
    <row r="57" spans="1:3" ht="15" customHeight="1" x14ac:dyDescent="0.3">
      <c r="A57" s="44" t="s">
        <v>106</v>
      </c>
      <c r="B57" s="45"/>
      <c r="C57" s="29">
        <v>11.78</v>
      </c>
    </row>
    <row r="58" spans="1:3" ht="15" customHeight="1" x14ac:dyDescent="0.25">
      <c r="A58" s="46" t="s">
        <v>107</v>
      </c>
      <c r="B58" s="47"/>
      <c r="C58" s="48"/>
    </row>
    <row r="59" spans="1:3" ht="18.75" x14ac:dyDescent="0.25">
      <c r="A59" s="49"/>
      <c r="B59" s="30" t="s">
        <v>108</v>
      </c>
      <c r="C59" s="52">
        <v>10.81</v>
      </c>
    </row>
    <row r="60" spans="1:3" ht="18.75" x14ac:dyDescent="0.25">
      <c r="A60" s="50"/>
      <c r="B60" s="31" t="s">
        <v>109</v>
      </c>
      <c r="C60" s="53"/>
    </row>
    <row r="61" spans="1:3" ht="18.75" x14ac:dyDescent="0.25">
      <c r="A61" s="50"/>
      <c r="B61" s="31" t="s">
        <v>110</v>
      </c>
      <c r="C61" s="53"/>
    </row>
    <row r="62" spans="1:3" ht="18.75" x14ac:dyDescent="0.25">
      <c r="A62" s="50"/>
      <c r="B62" s="31" t="s">
        <v>111</v>
      </c>
      <c r="C62" s="53"/>
    </row>
    <row r="63" spans="1:3" ht="18.75" x14ac:dyDescent="0.25">
      <c r="A63" s="51"/>
      <c r="B63" s="32" t="s">
        <v>112</v>
      </c>
      <c r="C63" s="54"/>
    </row>
    <row r="64" spans="1:3" ht="15" customHeight="1" x14ac:dyDescent="0.25">
      <c r="A64" s="46" t="s">
        <v>113</v>
      </c>
      <c r="B64" s="47"/>
      <c r="C64" s="48"/>
    </row>
    <row r="65" spans="1:3" ht="37.5" x14ac:dyDescent="0.3">
      <c r="A65" s="33" t="s">
        <v>53</v>
      </c>
      <c r="B65" s="28" t="s">
        <v>114</v>
      </c>
      <c r="C65" s="78">
        <f>C10*40%</f>
        <v>5.5360000000000005</v>
      </c>
    </row>
    <row r="66" spans="1:3" ht="37.5" x14ac:dyDescent="0.3">
      <c r="A66" s="33" t="s">
        <v>55</v>
      </c>
      <c r="B66" s="28" t="s">
        <v>115</v>
      </c>
      <c r="C66" s="78">
        <f>C10*60%</f>
        <v>8.3040000000000003</v>
      </c>
    </row>
    <row r="67" spans="1:3" ht="37.5" x14ac:dyDescent="0.3">
      <c r="A67" s="33" t="s">
        <v>82</v>
      </c>
      <c r="B67" s="28" t="s">
        <v>116</v>
      </c>
      <c r="C67" s="78">
        <f>C10*80%</f>
        <v>11.072000000000001</v>
      </c>
    </row>
    <row r="68" spans="1:3" ht="56.25" x14ac:dyDescent="0.3">
      <c r="A68" s="33" t="s">
        <v>87</v>
      </c>
      <c r="B68" s="28" t="s">
        <v>117</v>
      </c>
      <c r="C68" s="78">
        <f>C10*90%</f>
        <v>12.456</v>
      </c>
    </row>
    <row r="69" spans="1:3" ht="75" x14ac:dyDescent="0.3">
      <c r="A69" s="33" t="s">
        <v>100</v>
      </c>
      <c r="B69" s="28" t="s">
        <v>118</v>
      </c>
      <c r="C69" s="78">
        <f>C10*80%</f>
        <v>11.072000000000001</v>
      </c>
    </row>
    <row r="70" spans="1:3" ht="15" customHeight="1" x14ac:dyDescent="0.25">
      <c r="A70" s="55" t="s">
        <v>119</v>
      </c>
      <c r="B70" s="56"/>
      <c r="C70" s="57"/>
    </row>
    <row r="71" spans="1:3" ht="112.5" x14ac:dyDescent="0.3">
      <c r="A71" s="33" t="s">
        <v>53</v>
      </c>
      <c r="B71" s="34" t="s">
        <v>120</v>
      </c>
      <c r="C71" s="78">
        <f>C65</f>
        <v>5.5360000000000005</v>
      </c>
    </row>
    <row r="72" spans="1:3" ht="93.75" x14ac:dyDescent="0.3">
      <c r="A72" s="33" t="s">
        <v>55</v>
      </c>
      <c r="B72" s="34" t="s">
        <v>121</v>
      </c>
      <c r="C72" s="78">
        <f>C66</f>
        <v>8.3040000000000003</v>
      </c>
    </row>
  </sheetData>
  <mergeCells count="24">
    <mergeCell ref="A8:C8"/>
    <mergeCell ref="A2:B4"/>
    <mergeCell ref="A5:B5"/>
    <mergeCell ref="A6:B6"/>
    <mergeCell ref="C5:C6"/>
    <mergeCell ref="A7:C7"/>
    <mergeCell ref="A11:C11"/>
    <mergeCell ref="A12:C12"/>
    <mergeCell ref="A13:A26"/>
    <mergeCell ref="C13:C26"/>
    <mergeCell ref="A27:A35"/>
    <mergeCell ref="C27:C35"/>
    <mergeCell ref="A70:C70"/>
    <mergeCell ref="A36:A39"/>
    <mergeCell ref="C36:C39"/>
    <mergeCell ref="A40:A51"/>
    <mergeCell ref="C40:C51"/>
    <mergeCell ref="A52:A56"/>
    <mergeCell ref="C52:C56"/>
    <mergeCell ref="A57:B57"/>
    <mergeCell ref="A58:C58"/>
    <mergeCell ref="A59:A63"/>
    <mergeCell ref="C59:C63"/>
    <mergeCell ref="A64:C64"/>
  </mergeCells>
  <pageMargins left="0.7" right="0.7" top="0.78740157499999996" bottom="0.78740157499999996"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Facharbeiterstunde</vt:lpstr>
      <vt:lpstr>Lehrling 1.LJ</vt:lpstr>
      <vt:lpstr>Lehrling 2.LJ</vt:lpstr>
      <vt:lpstr>Lohntafel 1.5.16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Facharbeiterstunde Bau Kalkulation</dc:title>
  <dc:creator>Franz Pöschl;mattseer1@gmail.com</dc:creator>
  <cp:lastModifiedBy>Franz Pöschl</cp:lastModifiedBy>
  <dcterms:created xsi:type="dcterms:W3CDTF">2017-02-21T15:43:49Z</dcterms:created>
  <dcterms:modified xsi:type="dcterms:W3CDTF">2018-01-30T20:54:00Z</dcterms:modified>
</cp:coreProperties>
</file>