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Lektorat M I\Berufsschule\AWL\Lehrwerk-Online\AWL_LWO_2019\"/>
    </mc:Choice>
  </mc:AlternateContent>
  <xr:revisionPtr revIDLastSave="0" documentId="13_ncr:1_{A49F6A87-84F3-4406-AAF8-9D34C4C9CF43}" xr6:coauthVersionLast="43" xr6:coauthVersionMax="43" xr10:uidLastSave="{00000000-0000-0000-0000-000000000000}"/>
  <bookViews>
    <workbookView xWindow="-110" yWindow="-110" windowWidth="19420" windowHeight="10420" firstSheet="3" activeTab="6" xr2:uid="{00000000-000D-0000-FFFF-FFFF00000000}"/>
  </bookViews>
  <sheets>
    <sheet name="Angabe Kostenermittlung" sheetId="1" r:id="rId1"/>
    <sheet name="Kostenrechnung" sheetId="2" r:id="rId2"/>
    <sheet name="Kostenstellenrechnung" sheetId="3" r:id="rId3"/>
    <sheet name="Kalkulation der Leistungen" sheetId="6" r:id="rId4"/>
    <sheet name="Lohntabelle" sheetId="4" r:id="rId5"/>
    <sheet name="Kalkuliertes Team" sheetId="5" r:id="rId6"/>
    <sheet name="Kalkulation von Handelswaren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" l="1"/>
  <c r="D46" i="1"/>
  <c r="B20" i="1"/>
  <c r="C17" i="5"/>
  <c r="C18" i="5"/>
  <c r="C9" i="5" l="1"/>
  <c r="I11" i="4"/>
  <c r="I12" i="4"/>
  <c r="I13" i="4"/>
  <c r="I10" i="4"/>
  <c r="I8" i="4"/>
  <c r="D9" i="1" l="1"/>
  <c r="D32" i="2" l="1"/>
  <c r="D32" i="5"/>
  <c r="D31" i="5"/>
  <c r="D30" i="5"/>
  <c r="C5" i="5"/>
  <c r="E5" i="5" s="1"/>
  <c r="D41" i="1"/>
  <c r="D40" i="1"/>
  <c r="D35" i="2"/>
  <c r="D34" i="2"/>
  <c r="C10" i="2"/>
  <c r="C9" i="2"/>
  <c r="C6" i="5"/>
  <c r="C8" i="5"/>
  <c r="C7" i="5"/>
  <c r="E13" i="4"/>
  <c r="E8" i="4"/>
  <c r="C24" i="5" l="1"/>
  <c r="C10" i="5"/>
  <c r="C11" i="5"/>
  <c r="C12" i="5"/>
  <c r="E45" i="2" l="1"/>
  <c r="E44" i="2"/>
  <c r="E43" i="2"/>
  <c r="C11" i="2"/>
  <c r="E52" i="2"/>
  <c r="D36" i="5"/>
  <c r="D37" i="5" s="1"/>
  <c r="F24" i="5"/>
  <c r="G24" i="5" s="1"/>
  <c r="F11" i="5"/>
  <c r="K38" i="5"/>
  <c r="J38" i="5"/>
  <c r="I38" i="5"/>
  <c r="H38" i="5"/>
  <c r="G38" i="5"/>
  <c r="F38" i="5"/>
  <c r="E38" i="5"/>
  <c r="E34" i="5"/>
  <c r="K34" i="5"/>
  <c r="J34" i="5"/>
  <c r="I34" i="5"/>
  <c r="H34" i="5"/>
  <c r="G34" i="5"/>
  <c r="F34" i="5"/>
  <c r="K33" i="5"/>
  <c r="J33" i="5"/>
  <c r="I33" i="5"/>
  <c r="H33" i="5"/>
  <c r="F33" i="5"/>
  <c r="G33" i="5"/>
  <c r="E33" i="5"/>
  <c r="E36" i="5" s="1"/>
  <c r="I32" i="5"/>
  <c r="J32" i="5"/>
  <c r="K32" i="5"/>
  <c r="H32" i="5"/>
  <c r="G32" i="5"/>
  <c r="F32" i="5"/>
  <c r="E32" i="5"/>
  <c r="I31" i="5"/>
  <c r="I36" i="5" s="1"/>
  <c r="I37" i="5" s="1"/>
  <c r="J31" i="5"/>
  <c r="K31" i="5"/>
  <c r="H31" i="5"/>
  <c r="G31" i="5"/>
  <c r="F31" i="5"/>
  <c r="F30" i="5"/>
  <c r="F7" i="5" s="1"/>
  <c r="E31" i="5"/>
  <c r="K30" i="5"/>
  <c r="F12" i="5" s="1"/>
  <c r="J30" i="5"/>
  <c r="J36" i="5" s="1"/>
  <c r="I30" i="5"/>
  <c r="F10" i="5" s="1"/>
  <c r="H30" i="5"/>
  <c r="G30" i="5"/>
  <c r="F8" i="5" s="1"/>
  <c r="E30" i="5"/>
  <c r="F6" i="5" s="1"/>
  <c r="F5" i="5"/>
  <c r="E8" i="5"/>
  <c r="E9" i="5"/>
  <c r="D8" i="5"/>
  <c r="D9" i="5"/>
  <c r="H36" i="5" l="1"/>
  <c r="H37" i="5" s="1"/>
  <c r="F36" i="5"/>
  <c r="J37" i="5"/>
  <c r="F9" i="5"/>
  <c r="K36" i="5"/>
  <c r="K37" i="5" s="1"/>
  <c r="G36" i="5"/>
  <c r="G37" i="5" s="1"/>
  <c r="F37" i="5"/>
  <c r="G25" i="5"/>
  <c r="F23" i="5"/>
  <c r="G19" i="5"/>
  <c r="F17" i="5"/>
  <c r="G13" i="5"/>
  <c r="E23" i="5"/>
  <c r="E24" i="5"/>
  <c r="D24" i="5"/>
  <c r="D23" i="5"/>
  <c r="E18" i="5"/>
  <c r="E17" i="5"/>
  <c r="D18" i="5"/>
  <c r="D17" i="5"/>
  <c r="E6" i="5"/>
  <c r="E7" i="5"/>
  <c r="E10" i="5"/>
  <c r="E11" i="5"/>
  <c r="E12" i="5"/>
  <c r="D6" i="5"/>
  <c r="D7" i="5"/>
  <c r="D10" i="5"/>
  <c r="D11" i="5"/>
  <c r="D12" i="5"/>
  <c r="D5" i="5"/>
  <c r="E17" i="4"/>
  <c r="E18" i="4"/>
  <c r="E19" i="4"/>
  <c r="E16" i="4"/>
  <c r="E9" i="4"/>
  <c r="E10" i="4"/>
  <c r="E11" i="4"/>
  <c r="E12" i="4"/>
  <c r="E43" i="3"/>
  <c r="D10" i="3"/>
  <c r="D11" i="3"/>
  <c r="D12" i="3"/>
  <c r="D60" i="2"/>
  <c r="E42" i="2"/>
  <c r="C16" i="2"/>
  <c r="E50" i="2"/>
  <c r="E51" i="2"/>
  <c r="E34" i="2"/>
  <c r="E53" i="2"/>
  <c r="E35" i="2" s="1"/>
  <c r="E41" i="2"/>
  <c r="D42" i="1"/>
  <c r="E46" i="2" s="1"/>
  <c r="C28" i="2" s="1"/>
  <c r="C27" i="2"/>
  <c r="B30" i="2"/>
  <c r="E30" i="2" s="1"/>
  <c r="G30" i="2" s="1"/>
  <c r="D27" i="3" s="1"/>
  <c r="K27" i="3" s="1"/>
  <c r="B5" i="2"/>
  <c r="E5" i="2" s="1"/>
  <c r="B6" i="2"/>
  <c r="E6" i="2" s="1"/>
  <c r="B7" i="2"/>
  <c r="E7" i="2" s="1"/>
  <c r="B8" i="2"/>
  <c r="E8" i="2" s="1"/>
  <c r="B12" i="2"/>
  <c r="E12" i="2" s="1"/>
  <c r="B16" i="2"/>
  <c r="B17" i="2"/>
  <c r="E17" i="2" s="1"/>
  <c r="B18" i="2"/>
  <c r="E18" i="2" s="1"/>
  <c r="B19" i="2"/>
  <c r="E19" i="2" s="1"/>
  <c r="G19" i="2" s="1"/>
  <c r="D19" i="3" s="1"/>
  <c r="K19" i="3" s="1"/>
  <c r="B20" i="2"/>
  <c r="E20" i="2" s="1"/>
  <c r="B21" i="2"/>
  <c r="E21" i="2" s="1"/>
  <c r="B21" i="3" s="1"/>
  <c r="B22" i="2"/>
  <c r="E22" i="2" s="1"/>
  <c r="B23" i="2"/>
  <c r="E23" i="2" s="1"/>
  <c r="B24" i="2"/>
  <c r="E24" i="2" s="1"/>
  <c r="B25" i="2"/>
  <c r="E25" i="2" s="1"/>
  <c r="B26" i="2"/>
  <c r="E26" i="2" s="1"/>
  <c r="G26" i="2" s="1"/>
  <c r="D26" i="3" s="1"/>
  <c r="K26" i="3" s="1"/>
  <c r="B27" i="2"/>
  <c r="B28" i="2"/>
  <c r="B29" i="2"/>
  <c r="B4" i="2"/>
  <c r="E4" i="2" s="1"/>
  <c r="J19" i="3" l="1"/>
  <c r="G19" i="3"/>
  <c r="G27" i="3"/>
  <c r="I27" i="3"/>
  <c r="F27" i="3"/>
  <c r="J27" i="3"/>
  <c r="H27" i="3"/>
  <c r="D33" i="2"/>
  <c r="C29" i="2"/>
  <c r="H26" i="3"/>
  <c r="J26" i="3"/>
  <c r="F19" i="3"/>
  <c r="H19" i="3"/>
  <c r="I19" i="3"/>
  <c r="D25" i="5"/>
  <c r="E28" i="2"/>
  <c r="E27" i="2"/>
  <c r="G12" i="2"/>
  <c r="D13" i="3" s="1"/>
  <c r="K13" i="3" s="1"/>
  <c r="B13" i="3"/>
  <c r="D19" i="5"/>
  <c r="C45" i="5" s="1"/>
  <c r="E37" i="5"/>
  <c r="D13" i="5"/>
  <c r="G4" i="2"/>
  <c r="D5" i="3" s="1"/>
  <c r="K5" i="3" s="1"/>
  <c r="B5" i="3"/>
  <c r="G34" i="2"/>
  <c r="D30" i="3" s="1"/>
  <c r="K30" i="3" s="1"/>
  <c r="B30" i="3"/>
  <c r="E16" i="2"/>
  <c r="G16" i="2" s="1"/>
  <c r="E29" i="2"/>
  <c r="B19" i="3"/>
  <c r="G21" i="2"/>
  <c r="D21" i="3" s="1"/>
  <c r="K21" i="3" s="1"/>
  <c r="I21" i="3" s="1"/>
  <c r="E33" i="2"/>
  <c r="G33" i="2" s="1"/>
  <c r="D29" i="3" s="1"/>
  <c r="K29" i="3" s="1"/>
  <c r="E32" i="2"/>
  <c r="B28" i="3" s="1"/>
  <c r="B18" i="3"/>
  <c r="G18" i="2"/>
  <c r="D18" i="3" s="1"/>
  <c r="K18" i="3" s="1"/>
  <c r="G25" i="2"/>
  <c r="D25" i="3" s="1"/>
  <c r="K25" i="3" s="1"/>
  <c r="B25" i="3"/>
  <c r="B31" i="3"/>
  <c r="G35" i="2"/>
  <c r="D31" i="3" s="1"/>
  <c r="K31" i="3" s="1"/>
  <c r="B27" i="3"/>
  <c r="M27" i="3" s="1"/>
  <c r="G23" i="2"/>
  <c r="D23" i="3" s="1"/>
  <c r="K23" i="3" s="1"/>
  <c r="B23" i="3"/>
  <c r="B20" i="3"/>
  <c r="G20" i="2"/>
  <c r="D20" i="3" s="1"/>
  <c r="K20" i="3" s="1"/>
  <c r="G17" i="2"/>
  <c r="D17" i="3" s="1"/>
  <c r="K17" i="3" s="1"/>
  <c r="B17" i="3"/>
  <c r="G8" i="2"/>
  <c r="D9" i="3" s="1"/>
  <c r="K9" i="3" s="1"/>
  <c r="I9" i="3" s="1"/>
  <c r="B9" i="3"/>
  <c r="B8" i="3"/>
  <c r="G7" i="2"/>
  <c r="D8" i="3" s="1"/>
  <c r="K8" i="3" s="1"/>
  <c r="G6" i="2"/>
  <c r="D7" i="3" s="1"/>
  <c r="K7" i="3" s="1"/>
  <c r="B7" i="3"/>
  <c r="I26" i="3"/>
  <c r="F26" i="3"/>
  <c r="B26" i="3"/>
  <c r="B22" i="3"/>
  <c r="G22" i="2"/>
  <c r="D22" i="3" s="1"/>
  <c r="K22" i="3" s="1"/>
  <c r="G24" i="2"/>
  <c r="D24" i="3" s="1"/>
  <c r="K24" i="3" s="1"/>
  <c r="B24" i="3"/>
  <c r="G26" i="3"/>
  <c r="B6" i="3"/>
  <c r="C6" i="3" s="1"/>
  <c r="F5" i="2"/>
  <c r="F13" i="3" l="1"/>
  <c r="J13" i="3"/>
  <c r="J20" i="3"/>
  <c r="H20" i="3"/>
  <c r="F20" i="3"/>
  <c r="M20" i="3" s="1"/>
  <c r="G20" i="3"/>
  <c r="J29" i="3"/>
  <c r="I29" i="3"/>
  <c r="G7" i="3"/>
  <c r="F7" i="3"/>
  <c r="M7" i="3" s="1"/>
  <c r="H18" i="3"/>
  <c r="G18" i="3"/>
  <c r="J18" i="3"/>
  <c r="F18" i="3"/>
  <c r="M18" i="3" s="1"/>
  <c r="I18" i="3"/>
  <c r="F25" i="3"/>
  <c r="G25" i="3"/>
  <c r="J25" i="3"/>
  <c r="I25" i="3"/>
  <c r="M25" i="3" s="1"/>
  <c r="H25" i="3"/>
  <c r="I5" i="3"/>
  <c r="G5" i="3"/>
  <c r="H5" i="3"/>
  <c r="M5" i="3" s="1"/>
  <c r="F5" i="3"/>
  <c r="I22" i="3"/>
  <c r="J22" i="3"/>
  <c r="F22" i="3"/>
  <c r="M22" i="3" s="1"/>
  <c r="G22" i="3"/>
  <c r="H22" i="3"/>
  <c r="F17" i="3"/>
  <c r="M17" i="3" s="1"/>
  <c r="J17" i="3"/>
  <c r="G17" i="3"/>
  <c r="G23" i="3"/>
  <c r="J23" i="3"/>
  <c r="F23" i="3"/>
  <c r="M23" i="3" s="1"/>
  <c r="M31" i="3"/>
  <c r="M26" i="3"/>
  <c r="G24" i="3"/>
  <c r="I24" i="3"/>
  <c r="F24" i="3"/>
  <c r="M24" i="3" s="1"/>
  <c r="J24" i="3"/>
  <c r="H24" i="3"/>
  <c r="M19" i="3"/>
  <c r="F8" i="3"/>
  <c r="M8" i="3" s="1"/>
  <c r="I8" i="3"/>
  <c r="G8" i="3"/>
  <c r="I13" i="3"/>
  <c r="G26" i="5"/>
  <c r="C14" i="6" s="1"/>
  <c r="D14" i="6" s="1"/>
  <c r="C46" i="5"/>
  <c r="G14" i="5"/>
  <c r="C4" i="6" s="1"/>
  <c r="D4" i="6" s="1"/>
  <c r="C44" i="5"/>
  <c r="C43" i="5"/>
  <c r="I31" i="3"/>
  <c r="G31" i="3"/>
  <c r="J31" i="3"/>
  <c r="H30" i="3"/>
  <c r="F30" i="3"/>
  <c r="M30" i="3" s="1"/>
  <c r="J30" i="3"/>
  <c r="I30" i="3"/>
  <c r="G30" i="3"/>
  <c r="F29" i="3"/>
  <c r="H29" i="3"/>
  <c r="G29" i="3"/>
  <c r="B12" i="1"/>
  <c r="D8" i="1" s="1"/>
  <c r="D43" i="3" s="1"/>
  <c r="H7" i="3"/>
  <c r="J7" i="3"/>
  <c r="G13" i="3"/>
  <c r="H13" i="3"/>
  <c r="F21" i="3"/>
  <c r="E46" i="3"/>
  <c r="G21" i="3"/>
  <c r="G32" i="2"/>
  <c r="D28" i="3" s="1"/>
  <c r="K28" i="3" s="1"/>
  <c r="B29" i="3"/>
  <c r="H21" i="3"/>
  <c r="B11" i="1"/>
  <c r="D7" i="1" s="1"/>
  <c r="G20" i="5"/>
  <c r="C10" i="6" s="1"/>
  <c r="B10" i="1"/>
  <c r="D36" i="2"/>
  <c r="G9" i="3"/>
  <c r="F9" i="3"/>
  <c r="H31" i="3"/>
  <c r="F31" i="3"/>
  <c r="I23" i="3"/>
  <c r="H23" i="3"/>
  <c r="I20" i="3"/>
  <c r="I17" i="3"/>
  <c r="H17" i="3"/>
  <c r="H9" i="3"/>
  <c r="H8" i="3"/>
  <c r="I7" i="3"/>
  <c r="G5" i="2"/>
  <c r="F28" i="3" l="1"/>
  <c r="G28" i="3"/>
  <c r="J28" i="3"/>
  <c r="M9" i="3"/>
  <c r="B15" i="1"/>
  <c r="M21" i="3"/>
  <c r="M29" i="3"/>
  <c r="H28" i="3"/>
  <c r="I28" i="3"/>
  <c r="M13" i="3"/>
  <c r="C15" i="6"/>
  <c r="D15" i="6" s="1"/>
  <c r="C6" i="6"/>
  <c r="C7" i="6" s="1"/>
  <c r="C8" i="6" s="1"/>
  <c r="D8" i="6" s="1"/>
  <c r="C5" i="6"/>
  <c r="D5" i="6" s="1"/>
  <c r="D5" i="1"/>
  <c r="D6" i="1"/>
  <c r="C47" i="5"/>
  <c r="D44" i="5" s="1"/>
  <c r="B11" i="2"/>
  <c r="E11" i="2" s="1"/>
  <c r="B12" i="3" s="1"/>
  <c r="B14" i="1"/>
  <c r="B13" i="2" s="1"/>
  <c r="E13" i="2" s="1"/>
  <c r="B14" i="3" s="1"/>
  <c r="C43" i="3"/>
  <c r="C11" i="6"/>
  <c r="D10" i="6"/>
  <c r="B10" i="2"/>
  <c r="E10" i="2" s="1"/>
  <c r="B14" i="2"/>
  <c r="E14" i="2" s="1"/>
  <c r="G14" i="2" s="1"/>
  <c r="D15" i="3" s="1"/>
  <c r="K15" i="3" s="1"/>
  <c r="B16" i="1"/>
  <c r="B15" i="2" s="1"/>
  <c r="E15" i="2" s="1"/>
  <c r="B16" i="3" s="1"/>
  <c r="B9" i="2"/>
  <c r="E9" i="2" s="1"/>
  <c r="F9" i="2" s="1"/>
  <c r="C10" i="3" s="1"/>
  <c r="C16" i="6" l="1"/>
  <c r="D6" i="6"/>
  <c r="D7" i="6"/>
  <c r="D43" i="5"/>
  <c r="M28" i="3"/>
  <c r="F15" i="3"/>
  <c r="I15" i="3"/>
  <c r="J15" i="3"/>
  <c r="H15" i="3"/>
  <c r="G15" i="3"/>
  <c r="D46" i="5"/>
  <c r="D45" i="5"/>
  <c r="F11" i="2"/>
  <c r="C12" i="3" s="1"/>
  <c r="D44" i="3" s="1"/>
  <c r="G15" i="2"/>
  <c r="D16" i="3" s="1"/>
  <c r="K16" i="3" s="1"/>
  <c r="D56" i="1"/>
  <c r="E56" i="1" s="1"/>
  <c r="B56" i="1"/>
  <c r="B58" i="1"/>
  <c r="D58" i="1"/>
  <c r="B57" i="1"/>
  <c r="D57" i="1"/>
  <c r="D59" i="1"/>
  <c r="B55" i="1"/>
  <c r="D55" i="1"/>
  <c r="G13" i="2"/>
  <c r="D14" i="3" s="1"/>
  <c r="K14" i="3" s="1"/>
  <c r="B43" i="3"/>
  <c r="D52" i="1"/>
  <c r="B11" i="3"/>
  <c r="F10" i="2"/>
  <c r="C11" i="3" s="1"/>
  <c r="B15" i="3"/>
  <c r="C12" i="6"/>
  <c r="D12" i="6" s="1"/>
  <c r="D11" i="6"/>
  <c r="B10" i="3"/>
  <c r="B44" i="3"/>
  <c r="D33" i="1"/>
  <c r="D58" i="2" s="1"/>
  <c r="D61" i="2" s="1"/>
  <c r="D51" i="1"/>
  <c r="D16" i="6" l="1"/>
  <c r="C17" i="6"/>
  <c r="D17" i="6" s="1"/>
  <c r="D47" i="5"/>
  <c r="E55" i="1"/>
  <c r="L10" i="3" s="1"/>
  <c r="E58" i="1"/>
  <c r="L12" i="3" s="1"/>
  <c r="E57" i="1"/>
  <c r="L11" i="3" s="1"/>
  <c r="E59" i="1"/>
  <c r="L6" i="3"/>
  <c r="M15" i="3"/>
  <c r="H16" i="3"/>
  <c r="J16" i="3"/>
  <c r="F16" i="3"/>
  <c r="I16" i="3"/>
  <c r="G16" i="3"/>
  <c r="J14" i="3"/>
  <c r="I14" i="3"/>
  <c r="F14" i="3"/>
  <c r="H14" i="3"/>
  <c r="H32" i="3" s="1"/>
  <c r="C45" i="3" s="1"/>
  <c r="G14" i="3"/>
  <c r="G36" i="2"/>
  <c r="D60" i="1"/>
  <c r="D32" i="3"/>
  <c r="B60" i="1"/>
  <c r="C44" i="3"/>
  <c r="B32" i="3"/>
  <c r="F36" i="2"/>
  <c r="C32" i="3"/>
  <c r="B33" i="1"/>
  <c r="B36" i="2" s="1"/>
  <c r="M14" i="3" l="1"/>
  <c r="M16" i="3"/>
  <c r="E60" i="1"/>
  <c r="C47" i="3"/>
  <c r="J32" i="3"/>
  <c r="D39" i="3" s="1"/>
  <c r="B5" i="7" s="1"/>
  <c r="B6" i="7" s="1"/>
  <c r="B7" i="7" s="1"/>
  <c r="B8" i="7" s="1"/>
  <c r="B9" i="7" s="1"/>
  <c r="B10" i="7" s="1"/>
  <c r="B11" i="7" s="1"/>
  <c r="F10" i="7" s="1"/>
  <c r="G10" i="7" s="1"/>
  <c r="G32" i="3"/>
  <c r="F32" i="3"/>
  <c r="I32" i="3"/>
  <c r="D45" i="3" s="1"/>
  <c r="D47" i="3" s="1"/>
  <c r="D37" i="3"/>
  <c r="E12" i="6" s="1"/>
  <c r="B32" i="1"/>
  <c r="D43" i="1" s="1"/>
  <c r="E47" i="2" s="1"/>
  <c r="C31" i="2" s="1"/>
  <c r="C36" i="2" s="1"/>
  <c r="F12" i="6" l="1"/>
  <c r="G12" i="6" s="1"/>
  <c r="H12" i="6" s="1"/>
  <c r="D35" i="3"/>
  <c r="E6" i="6" s="1"/>
  <c r="D36" i="3"/>
  <c r="E4" i="6" s="1"/>
  <c r="D38" i="3"/>
  <c r="E14" i="6" s="1"/>
  <c r="F7" i="7"/>
  <c r="G7" i="7" s="1"/>
  <c r="F8" i="7"/>
  <c r="G8" i="7" s="1"/>
  <c r="F5" i="7"/>
  <c r="G5" i="7" s="1"/>
  <c r="E45" i="3"/>
  <c r="E47" i="3" s="1"/>
  <c r="F11" i="7"/>
  <c r="F6" i="7"/>
  <c r="G6" i="7" s="1"/>
  <c r="F9" i="7"/>
  <c r="G9" i="7" s="1"/>
  <c r="B45" i="3"/>
  <c r="B47" i="3" s="1"/>
  <c r="K33" i="3"/>
  <c r="E10" i="6"/>
  <c r="E11" i="6"/>
  <c r="B31" i="2"/>
  <c r="E31" i="2" s="1"/>
  <c r="E36" i="2" s="1"/>
  <c r="E37" i="2" s="1"/>
  <c r="G11" i="7" l="1"/>
  <c r="F12" i="7"/>
  <c r="G12" i="7" s="1"/>
  <c r="E5" i="6"/>
  <c r="F5" i="6" s="1"/>
  <c r="G5" i="6" s="1"/>
  <c r="H5" i="6" s="1"/>
  <c r="F6" i="6"/>
  <c r="G6" i="6" s="1"/>
  <c r="H6" i="6" s="1"/>
  <c r="E7" i="6"/>
  <c r="F10" i="6"/>
  <c r="G10" i="6" s="1"/>
  <c r="H10" i="6" s="1"/>
  <c r="F14" i="6"/>
  <c r="G14" i="6" s="1"/>
  <c r="H14" i="6" s="1"/>
  <c r="F11" i="6"/>
  <c r="G11" i="6" s="1"/>
  <c r="H11" i="6" s="1"/>
  <c r="F4" i="6"/>
  <c r="G4" i="6" s="1"/>
  <c r="H4" i="6" s="1"/>
  <c r="E15" i="6"/>
  <c r="D62" i="2"/>
  <c r="D63" i="2" s="1"/>
  <c r="G37" i="2"/>
  <c r="E8" i="6" l="1"/>
  <c r="F7" i="6"/>
  <c r="G7" i="6" s="1"/>
  <c r="H7" i="6" s="1"/>
  <c r="F15" i="6"/>
  <c r="G15" i="6" s="1"/>
  <c r="H15" i="6" s="1"/>
  <c r="E16" i="6"/>
  <c r="F16" i="6" l="1"/>
  <c r="G16" i="6" s="1"/>
  <c r="H16" i="6" s="1"/>
  <c r="F8" i="6"/>
  <c r="G8" i="6" s="1"/>
  <c r="H8" i="6" s="1"/>
  <c r="E17" i="6"/>
  <c r="F17" i="6" l="1"/>
  <c r="G17" i="6" s="1"/>
  <c r="H17" i="6" s="1"/>
</calcChain>
</file>

<file path=xl/sharedStrings.xml><?xml version="1.0" encoding="utf-8"?>
<sst xmlns="http://schemas.openxmlformats.org/spreadsheetml/2006/main" count="439" uniqueCount="261">
  <si>
    <t>Kostenrechnung Dienstleistungsbetrieb</t>
  </si>
  <si>
    <t>Erfolgsbilanz zum 31. Dezember 2017</t>
  </si>
  <si>
    <t xml:space="preserve">Aufwand </t>
  </si>
  <si>
    <t>in Euro</t>
  </si>
  <si>
    <t>Erträge</t>
  </si>
  <si>
    <t>Materialverbrauch</t>
  </si>
  <si>
    <t>Stromverbrauch</t>
  </si>
  <si>
    <t>Umsatz Herrenfrisuren</t>
  </si>
  <si>
    <t>Umsatz Damenfrisuren</t>
  </si>
  <si>
    <t>Wasserverbrauch</t>
  </si>
  <si>
    <t>Umsatz Fußpflege</t>
  </si>
  <si>
    <t>Heizung</t>
  </si>
  <si>
    <t>Löhne Friseurabteilung</t>
  </si>
  <si>
    <t>Umsatz Kosmetikartikel</t>
  </si>
  <si>
    <t>Löhne Fußpflege</t>
  </si>
  <si>
    <t>Erlöse aus Anlagenverkauf</t>
  </si>
  <si>
    <t>Löhne Massage</t>
  </si>
  <si>
    <t>Gesetzlicher Sozialaufwand</t>
  </si>
  <si>
    <t>Dienstgeberbeitrag + DZ</t>
  </si>
  <si>
    <t>Kommunalsteuer</t>
  </si>
  <si>
    <t>Planmäßige AfA</t>
  </si>
  <si>
    <t>Instandhaltung</t>
  </si>
  <si>
    <t>Nachrichtenaufwand</t>
  </si>
  <si>
    <t>Miete/Pacht</t>
  </si>
  <si>
    <t>Büroaufwand</t>
  </si>
  <si>
    <t>Fachliteratur</t>
  </si>
  <si>
    <t>Versicherungen</t>
  </si>
  <si>
    <t>Rechts- u. Steuerberatung</t>
  </si>
  <si>
    <t>Aus- und Fortbildung</t>
  </si>
  <si>
    <t>Zinsaufwand</t>
  </si>
  <si>
    <t>Schadensfälle</t>
  </si>
  <si>
    <t>Buchwert verkaufter Anlagen</t>
  </si>
  <si>
    <t>Sonstiger betrieblicher Aufwand</t>
  </si>
  <si>
    <t>Reingewinn</t>
  </si>
  <si>
    <t xml:space="preserve"> </t>
  </si>
  <si>
    <t>Handelswareneinsatz</t>
  </si>
  <si>
    <t>Gehälter</t>
  </si>
  <si>
    <t>Umsatz Massagen</t>
  </si>
  <si>
    <t>Neutraler Aufwand</t>
  </si>
  <si>
    <t xml:space="preserve">Zusatzkosten </t>
  </si>
  <si>
    <t>Einzelkosten</t>
  </si>
  <si>
    <t>Kosten</t>
  </si>
  <si>
    <t>Angaben zur Kostenermittlung:</t>
  </si>
  <si>
    <t>Eigenverbrauch Friseurleistung</t>
  </si>
  <si>
    <t>Damen</t>
  </si>
  <si>
    <t>Herren</t>
  </si>
  <si>
    <t>Planmäßige Afa</t>
  </si>
  <si>
    <t>Werbung und Spenden</t>
  </si>
  <si>
    <t>Kfz.-Betriebsaufwand</t>
  </si>
  <si>
    <t>Auszuscheiden ist außerdem der Reingewinn, da kein Aufwand</t>
  </si>
  <si>
    <t>Zusatzkosten:</t>
  </si>
  <si>
    <t>Unternehmerlohn</t>
  </si>
  <si>
    <t>Eigenkapitalverzinsung</t>
  </si>
  <si>
    <t>Kalkulatorische Abschreibung</t>
  </si>
  <si>
    <t>Kalkulatorisches Risiko</t>
  </si>
  <si>
    <t>aliquoter Wiederbeschaffungswert</t>
  </si>
  <si>
    <t>Durchschn.  Schadensfälle der letzen Jahre</t>
  </si>
  <si>
    <t>Eigenverbrauch Fußpflege</t>
  </si>
  <si>
    <t>Kalkulatorische Zinsen</t>
  </si>
  <si>
    <t>Ermittlung des Betriebsergebnisses</t>
  </si>
  <si>
    <t>- außerordentliche Erträge</t>
  </si>
  <si>
    <t>= Betriebserlös</t>
  </si>
  <si>
    <t>- Kosten</t>
  </si>
  <si>
    <t>= Betriebsergebnis</t>
  </si>
  <si>
    <t>Gesamterlös laut Erfolgsbilanz</t>
  </si>
  <si>
    <t>Gemeinkos-ten</t>
  </si>
  <si>
    <t>Kostenrechnung</t>
  </si>
  <si>
    <t>Lösung</t>
  </si>
  <si>
    <t>Kostenstellenrechnung</t>
  </si>
  <si>
    <t xml:space="preserve">  </t>
  </si>
  <si>
    <t>Fußpflege</t>
  </si>
  <si>
    <t>Massage</t>
  </si>
  <si>
    <t>Damen-friseur</t>
  </si>
  <si>
    <t>Herren-friseur</t>
  </si>
  <si>
    <t>Gemein-kosten</t>
  </si>
  <si>
    <t>Einzel-kosten</t>
  </si>
  <si>
    <t xml:space="preserve">Ermittlung der Zuschlagssätze: </t>
  </si>
  <si>
    <t>Lohnzuschlag Damenfriseur</t>
  </si>
  <si>
    <t>Lohnzuschlag Herrenfriseur</t>
  </si>
  <si>
    <t>Verteilungs-schlüssel</t>
  </si>
  <si>
    <t>Friseurumsatzaufteilung</t>
  </si>
  <si>
    <t>Lohnzuschlag Fußpflege</t>
  </si>
  <si>
    <t>Lohnzuschlag Massage</t>
  </si>
  <si>
    <t>Gemeinkostenzuschlag Kosmetika</t>
  </si>
  <si>
    <t>45 : 15 : 20 : 20 : 0</t>
  </si>
  <si>
    <t>50 : 17 : 16 : 17 : 0</t>
  </si>
  <si>
    <t>Instandhaltung/Reinigung</t>
  </si>
  <si>
    <t>Lohntabellen</t>
  </si>
  <si>
    <t>im 1. Lehrjahr</t>
  </si>
  <si>
    <t>im 2. Lehrjahr</t>
  </si>
  <si>
    <t>im 3. Lehrjahr</t>
  </si>
  <si>
    <t>im 4. Lehrjahr</t>
  </si>
  <si>
    <t>1.)</t>
  </si>
  <si>
    <t>2.)</t>
  </si>
  <si>
    <t>3.)</t>
  </si>
  <si>
    <t>4.)</t>
  </si>
  <si>
    <t>5.)</t>
  </si>
  <si>
    <t>Jahreslohn</t>
  </si>
  <si>
    <t>Monatslohn</t>
  </si>
  <si>
    <t>Mindestlohn/Mindestgehalt</t>
  </si>
  <si>
    <t>im 1. Lehrjahr:</t>
  </si>
  <si>
    <t>im 2. Lehrjahr:</t>
  </si>
  <si>
    <t>im 3. Lehrjahr:</t>
  </si>
  <si>
    <t>im 4. Lehrjahr:</t>
  </si>
  <si>
    <t>Kalkuliertes Team</t>
  </si>
  <si>
    <t>1.</t>
  </si>
  <si>
    <t>2.</t>
  </si>
  <si>
    <t>3.</t>
  </si>
  <si>
    <t>4.</t>
  </si>
  <si>
    <t xml:space="preserve">5. </t>
  </si>
  <si>
    <t xml:space="preserve">6. </t>
  </si>
  <si>
    <t>Friseurinnen/Friseure</t>
  </si>
  <si>
    <t>7.</t>
  </si>
  <si>
    <t>Fußpflegerinnen</t>
  </si>
  <si>
    <t>Masseurinnen/Masseure</t>
  </si>
  <si>
    <t>8.</t>
  </si>
  <si>
    <t>9.</t>
  </si>
  <si>
    <t>10.</t>
  </si>
  <si>
    <t>Kalkulation der Leistungen</t>
  </si>
  <si>
    <t>Dienstleistung</t>
  </si>
  <si>
    <t>Lohn der Leistung</t>
  </si>
  <si>
    <t>Gemeinkostenzuschlag</t>
  </si>
  <si>
    <t>kalkulierter Preis</t>
  </si>
  <si>
    <t>Listenpreis</t>
  </si>
  <si>
    <t>Bezahlte Stunden</t>
  </si>
  <si>
    <t>Mittellohn pro verrechenbarer Stunde</t>
  </si>
  <si>
    <t>Herrenhaarschnitt trocken</t>
  </si>
  <si>
    <t>Herrenhaarschnitt mit Waschen</t>
  </si>
  <si>
    <t>Damen Kurzhaarschnitt</t>
  </si>
  <si>
    <t>Damen Waschen Schneiden Legen</t>
  </si>
  <si>
    <t>Damen Dauerwelle</t>
  </si>
  <si>
    <t>Fußpflege klein</t>
  </si>
  <si>
    <t>Fußpflege mittel</t>
  </si>
  <si>
    <t>Fußpflege groß</t>
  </si>
  <si>
    <t>Teilmassage</t>
  </si>
  <si>
    <t>Fußreflexzonenmassage</t>
  </si>
  <si>
    <t>Lymphdrainage</t>
  </si>
  <si>
    <t>Ganzkörpermassage</t>
  </si>
  <si>
    <t>Kalkulation von Handelswaren</t>
  </si>
  <si>
    <t>Kalkulationsfaktor:</t>
  </si>
  <si>
    <t>Einstandspreis</t>
  </si>
  <si>
    <t>+ Gemeinkosten</t>
  </si>
  <si>
    <t>=Selbstkosten</t>
  </si>
  <si>
    <t>+ 2 % Gewinn</t>
  </si>
  <si>
    <t>+ 20 % Umsatzsteuer</t>
  </si>
  <si>
    <t>= Kalkulationsfaktor</t>
  </si>
  <si>
    <t>= Nettoverkaufspreis</t>
  </si>
  <si>
    <t>gerundet</t>
  </si>
  <si>
    <t>Kalkulation:</t>
  </si>
  <si>
    <t>Haarpflegeshampoo</t>
  </si>
  <si>
    <t>Seidenglanzpflege</t>
  </si>
  <si>
    <t>errechneter Preis</t>
  </si>
  <si>
    <t>Duftwasser</t>
  </si>
  <si>
    <t>Massageöl</t>
  </si>
  <si>
    <t>Fußbalsam</t>
  </si>
  <si>
    <t>Einstands-preis</t>
  </si>
  <si>
    <t>Kalku-lations-faktor</t>
  </si>
  <si>
    <t>Eigenverbrauch Massageleistungen</t>
  </si>
  <si>
    <t>Stunden-lohn</t>
  </si>
  <si>
    <t>Ermittlung der verrechenbaren Stunden:</t>
  </si>
  <si>
    <t>Verfügbare Arbeitszeit</t>
  </si>
  <si>
    <t>Betriebsergebnis nach Sparten:</t>
  </si>
  <si>
    <t>Umsatz</t>
  </si>
  <si>
    <t>Frisiersalon</t>
  </si>
  <si>
    <t>- Lohnkosten (Einzelkosten)</t>
  </si>
  <si>
    <t>- Gemeinkosten</t>
  </si>
  <si>
    <t>- Materialkosten (Einzelkosten</t>
  </si>
  <si>
    <t>Laura (Chefin)</t>
  </si>
  <si>
    <t>Tanja, 1. Praxisjahr</t>
  </si>
  <si>
    <t>Hanna</t>
  </si>
  <si>
    <t>Susanne</t>
  </si>
  <si>
    <t>Peter</t>
  </si>
  <si>
    <t>Norma</t>
  </si>
  <si>
    <t>Tanja</t>
  </si>
  <si>
    <t>Marija</t>
  </si>
  <si>
    <t>Seta</t>
  </si>
  <si>
    <t>Jahresstunden</t>
  </si>
  <si>
    <t>Pflegeurlaub/Diensverhinderung/Berufssschule</t>
  </si>
  <si>
    <t>5 Wochen Urlaub</t>
  </si>
  <si>
    <t>13 bezahlte Feiertage</t>
  </si>
  <si>
    <t>Krankenstand</t>
  </si>
  <si>
    <t>Jacqueline 10 Jahre Praxis</t>
  </si>
  <si>
    <t>Jennifer, 3 Jahre Praxis</t>
  </si>
  <si>
    <t>Boris, 18 Jahre Praxis</t>
  </si>
  <si>
    <t>Nana, 3 Jahre Praxis</t>
  </si>
  <si>
    <t>Friseurinnen bzw. Friseur</t>
  </si>
  <si>
    <t>Eigenverbrauch Massage</t>
  </si>
  <si>
    <t>1 % der Ge-meinkosten</t>
  </si>
  <si>
    <t>Umsatzan-teile %</t>
  </si>
  <si>
    <t>Umsatzanteile:</t>
  </si>
  <si>
    <t>Damenfrisuren</t>
  </si>
  <si>
    <t>Herrenfrisuren</t>
  </si>
  <si>
    <t>Massagen</t>
  </si>
  <si>
    <t>Handelswarenumsatz</t>
  </si>
  <si>
    <t>45 : 11 : 20 : 17 : 7</t>
  </si>
  <si>
    <t>34 : 14 : 23 : 25 : 4</t>
  </si>
  <si>
    <t>Gesamt</t>
  </si>
  <si>
    <t>55 :10 : 20 : 15 : 0</t>
  </si>
  <si>
    <t>70 : 12 : 8 : 8 : 2</t>
  </si>
  <si>
    <t>70 : 15 : 8 : 7 : 0</t>
  </si>
  <si>
    <t>55 : 12 : 15 : 15 : 3</t>
  </si>
  <si>
    <t>Gesichtscreme</t>
  </si>
  <si>
    <t>Saunaöl</t>
  </si>
  <si>
    <t>Umsatz-steuer</t>
  </si>
  <si>
    <t>Selbst-kosten</t>
  </si>
  <si>
    <t>Arbeit in Minuten</t>
  </si>
  <si>
    <t>Lehrlinge ab 1.5. 2017 bis 30. 4. 2018</t>
  </si>
  <si>
    <t xml:space="preserve">Einfache Tätigkeiten: </t>
  </si>
  <si>
    <t xml:space="preserve">Qualifizierte Tätigkeiten: </t>
  </si>
  <si>
    <t xml:space="preserve">Hochqualifizierte Tätigkeiten: </t>
  </si>
  <si>
    <t>Kosmetikerinnen/Masseure, Masseurinnen sowie Fußpfleger und Fußpflegerinnen</t>
  </si>
  <si>
    <t>von</t>
  </si>
  <si>
    <t>bis</t>
  </si>
  <si>
    <t>Angelernte Arbeitnehmerinnen und Arbeitnehmer</t>
  </si>
  <si>
    <t>während der gesetzlichen Behaltepflicht – mit positiver facheinschlägiger Lehrabschlussprüfung</t>
  </si>
  <si>
    <t>im 1. Jahr der Berufstätigkeit für Friseurinnen und Friseure</t>
  </si>
  <si>
    <t>im 2. und 3. Jahr der Berufstätigkeit für Friseurinnen und Friseure</t>
  </si>
  <si>
    <t>im 4. und 5. Jahr der Berufstätigkeit für Friseurinnen und Friseure</t>
  </si>
  <si>
    <t>6.)</t>
  </si>
  <si>
    <t>ab dem 6. Jahr der Berufstätigkeit für Friseurinnen und Friseure</t>
  </si>
  <si>
    <t xml:space="preserve"> Verrechenbare Stunden</t>
  </si>
  <si>
    <t>Nicht verrechenbare Arbeitszeit (Rüstzeit, Stehzeit, Reinigung, Inventur, Verwaltung)</t>
  </si>
  <si>
    <t>Hannah, 10 Jahre Praxis</t>
  </si>
  <si>
    <t>Susanne, 8 Jahre Praxis</t>
  </si>
  <si>
    <t>Peter, 4 Jahre Praxis</t>
  </si>
  <si>
    <t>Norma, 3 Jahre Praxis</t>
  </si>
  <si>
    <t>Marija, (3. Lehrjahr)</t>
  </si>
  <si>
    <t>Seta, (1. Lehrjahr)</t>
  </si>
  <si>
    <t>€ 1200 x 14 Monate + 30 % Sozialabgaben</t>
  </si>
  <si>
    <t xml:space="preserve">Gewinn </t>
  </si>
  <si>
    <t>39 : 11 :21 : 23 : 6</t>
  </si>
  <si>
    <t>Lohnanteile nach Sparten:</t>
  </si>
  <si>
    <t>39 : 11 : 22 : 24 : 4</t>
  </si>
  <si>
    <t>59 : 13 : 15 : 12 : 1</t>
  </si>
  <si>
    <t>Laura, Chefin (halbtags)</t>
  </si>
  <si>
    <t>Gemeinkosten/Einzelkosten</t>
  </si>
  <si>
    <t>Verrechen-bare Stun-den</t>
  </si>
  <si>
    <r>
      <t>1.) </t>
    </r>
    <r>
      <rPr>
        <sz val="13"/>
        <color rgb="FF304C59"/>
        <rFont val="Arial"/>
        <family val="2"/>
      </rPr>
      <t>Angelernte Arbeitnehmerinnen und Arbeitnehmer ...... </t>
    </r>
    <r>
      <rPr>
        <sz val="13"/>
        <color rgb="FF304C59"/>
        <rFont val="Arial"/>
        <family val="2"/>
      </rPr>
      <t>€ 1.501,--</t>
    </r>
  </si>
  <si>
    <r>
      <t>2.)</t>
    </r>
    <r>
      <rPr>
        <sz val="13"/>
        <color rgb="FF304C59"/>
        <rFont val="Arial"/>
        <family val="2"/>
      </rPr>
      <t> im 1. Jahr der Berufstätigkeit für Friseurinnen und Friseure ...... </t>
    </r>
    <r>
      <rPr>
        <sz val="13"/>
        <color rgb="FF304C59"/>
        <rFont val="Arial"/>
        <family val="2"/>
      </rPr>
      <t>€ 1.530,--</t>
    </r>
  </si>
  <si>
    <r>
      <t>3.)</t>
    </r>
    <r>
      <rPr>
        <sz val="13"/>
        <color rgb="FF304C59"/>
        <rFont val="Arial"/>
        <family val="2"/>
      </rPr>
      <t> im 2. und 3. Jahr der Berufstätigkeit für Friseurinnen und Friseure ...... </t>
    </r>
    <r>
      <rPr>
        <sz val="13"/>
        <color rgb="FF304C59"/>
        <rFont val="Arial"/>
        <family val="2"/>
      </rPr>
      <t>€ 1.561,--</t>
    </r>
  </si>
  <si>
    <r>
      <t>4.) </t>
    </r>
    <r>
      <rPr>
        <sz val="13"/>
        <color rgb="FF304C59"/>
        <rFont val="Arial"/>
        <family val="2"/>
      </rPr>
      <t>im 4. und 5. Jahr der Berufstätigkeit für Friseurinnen und Friseure ...... </t>
    </r>
    <r>
      <rPr>
        <sz val="13"/>
        <color rgb="FF304C59"/>
        <rFont val="Arial"/>
        <family val="2"/>
      </rPr>
      <t>€ 1.601,--</t>
    </r>
  </si>
  <si>
    <r>
      <t>5.)</t>
    </r>
    <r>
      <rPr>
        <sz val="13"/>
        <color rgb="FF304C59"/>
        <rFont val="Arial"/>
        <family val="2"/>
      </rPr>
      <t> ab dem 6. Jahr der Berufstätigkeit für Friseurinnen und Friseure ...... </t>
    </r>
    <r>
      <rPr>
        <sz val="13"/>
        <color rgb="FF304C59"/>
        <rFont val="Arial"/>
        <family val="2"/>
      </rPr>
      <t>€ 1.725,--</t>
    </r>
  </si>
  <si>
    <t>A)  Kollektivvertragliche Mindestmonatslöhne ab 1.4.2019</t>
  </si>
  <si>
    <t>keine KV-Regelung während Behaltepflicht. Wahrscheinlich Lohn des 1. Lehrjahres</t>
  </si>
  <si>
    <t>monatlich</t>
  </si>
  <si>
    <t>jährlich</t>
  </si>
  <si>
    <t>Friseure/Friseurinnen gültig ab 1. 4. 2019</t>
  </si>
  <si>
    <t>Kollektivvertragliche Mindestmonatslöhne ab 1.4.2020 </t>
  </si>
  <si>
    <t>Lehrlingsentschädigung 2019</t>
  </si>
  <si>
    <t>Kosmetika</t>
  </si>
  <si>
    <t>€ 2600 x 14 Monate + 30 % Sozialabgaben</t>
  </si>
  <si>
    <t>0,5 % von € 275.000</t>
  </si>
  <si>
    <t>Kosmetika-verkauf</t>
  </si>
  <si>
    <t>40 : 11 : 20 : 25 : 4</t>
  </si>
  <si>
    <t>48 : 14 : 18 : 16 : 4</t>
  </si>
  <si>
    <t>30 : 15 : 25 : 25 : 5</t>
  </si>
  <si>
    <t>40 : 12 :21 : 24 : 3</t>
  </si>
  <si>
    <t>60 : 15 : 11 : 10 : 4</t>
  </si>
  <si>
    <t>40 : 15 : 20 : 20 : 5</t>
  </si>
  <si>
    <t>Haarwurzelbalsam</t>
  </si>
  <si>
    <t xml:space="preserve">Fachkräfte: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</si>
</sst>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[$€-C07]\ * #,##0.00_-;\-[$€-C07]\ * #,##0.00_-;_-[$€-C07]\ * &quot;-&quot;??_-;_-@_-"/>
    <numFmt numFmtId="165" formatCode="#,##0.00_ ;\-#,##0.00\ "/>
    <numFmt numFmtId="166" formatCode="#,##0.00\ _€"/>
    <numFmt numFmtId="167" formatCode="0.000"/>
    <numFmt numFmtId="168" formatCode="#,##0_ ;\-#,##0\ "/>
    <numFmt numFmtId="169" formatCode="[$€-2]\ #,##0.00;[Red]\-[$€-2]\ #,##0.00"/>
    <numFmt numFmtId="170" formatCode="0.0000"/>
    <numFmt numFmtId="171" formatCode="0.0%"/>
    <numFmt numFmtId="172" formatCode="[$€-C07]\ #,##0;\-[$€-C07]\ #,##0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  <font>
      <b/>
      <sz val="11"/>
      <name val="Calibri"/>
      <family val="2"/>
    </font>
    <font>
      <sz val="13"/>
      <color rgb="FF304C59"/>
      <name val="Arial"/>
      <family val="2"/>
    </font>
    <font>
      <sz val="13"/>
      <color rgb="FF304C59"/>
      <name val="Arial"/>
      <family val="2"/>
    </font>
    <font>
      <b/>
      <sz val="11"/>
      <color rgb="FF304C59"/>
      <name val="Arial"/>
      <family val="2"/>
    </font>
    <font>
      <sz val="12"/>
      <color rgb="FF000000"/>
      <name val="Arial"/>
      <family val="2"/>
    </font>
    <font>
      <b/>
      <sz val="12.35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0" xfId="0" applyFont="1" applyFill="1"/>
    <xf numFmtId="0" fontId="3" fillId="4" borderId="0" xfId="0" applyFont="1" applyFill="1"/>
    <xf numFmtId="0" fontId="0" fillId="2" borderId="0" xfId="0" applyFill="1"/>
    <xf numFmtId="49" fontId="0" fillId="0" borderId="0" xfId="0" applyNumberFormat="1"/>
    <xf numFmtId="164" fontId="0" fillId="0" borderId="0" xfId="0" applyNumberFormat="1"/>
    <xf numFmtId="0" fontId="2" fillId="0" borderId="1" xfId="0" applyFont="1" applyBorder="1"/>
    <xf numFmtId="0" fontId="0" fillId="0" borderId="1" xfId="0" applyBorder="1"/>
    <xf numFmtId="49" fontId="2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Fill="1" applyBorder="1"/>
    <xf numFmtId="49" fontId="2" fillId="2" borderId="0" xfId="0" applyNumberFormat="1" applyFont="1" applyFill="1" applyBorder="1"/>
    <xf numFmtId="0" fontId="2" fillId="2" borderId="0" xfId="0" applyFont="1" applyFill="1"/>
    <xf numFmtId="0" fontId="0" fillId="0" borderId="0" xfId="0" applyBorder="1"/>
    <xf numFmtId="164" fontId="0" fillId="0" borderId="0" xfId="1" applyNumberFormat="1" applyFont="1" applyBorder="1"/>
    <xf numFmtId="4" fontId="0" fillId="0" borderId="1" xfId="0" applyNumberFormat="1" applyBorder="1"/>
    <xf numFmtId="166" fontId="0" fillId="0" borderId="1" xfId="0" applyNumberFormat="1" applyBorder="1"/>
    <xf numFmtId="165" fontId="0" fillId="0" borderId="0" xfId="0" applyNumberFormat="1"/>
    <xf numFmtId="165" fontId="0" fillId="5" borderId="1" xfId="0" applyNumberFormat="1" applyFill="1" applyBorder="1"/>
    <xf numFmtId="165" fontId="0" fillId="4" borderId="1" xfId="0" applyNumberFormat="1" applyFill="1" applyBorder="1"/>
    <xf numFmtId="164" fontId="2" fillId="0" borderId="0" xfId="0" applyNumberFormat="1" applyFont="1"/>
    <xf numFmtId="49" fontId="2" fillId="6" borderId="1" xfId="0" applyNumberFormat="1" applyFont="1" applyFill="1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49" fontId="0" fillId="0" borderId="5" xfId="0" applyNumberFormat="1" applyBorder="1"/>
    <xf numFmtId="164" fontId="0" fillId="0" borderId="6" xfId="0" applyNumberForma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49" fontId="2" fillId="6" borderId="1" xfId="0" applyNumberFormat="1" applyFont="1" applyFill="1" applyBorder="1" applyAlignment="1">
      <alignment wrapText="1"/>
    </xf>
    <xf numFmtId="165" fontId="0" fillId="8" borderId="1" xfId="0" applyNumberFormat="1" applyFill="1" applyBorder="1"/>
    <xf numFmtId="165" fontId="2" fillId="8" borderId="1" xfId="0" applyNumberFormat="1" applyFont="1" applyFill="1" applyBorder="1"/>
    <xf numFmtId="0" fontId="5" fillId="8" borderId="0" xfId="0" applyFont="1" applyFill="1"/>
    <xf numFmtId="49" fontId="3" fillId="2" borderId="1" xfId="0" applyNumberFormat="1" applyFont="1" applyFill="1" applyBorder="1"/>
    <xf numFmtId="2" fontId="0" fillId="0" borderId="0" xfId="0" applyNumberFormat="1"/>
    <xf numFmtId="167" fontId="0" fillId="0" borderId="0" xfId="0" applyNumberFormat="1"/>
    <xf numFmtId="1" fontId="0" fillId="0" borderId="1" xfId="0" applyNumberFormat="1" applyBorder="1"/>
    <xf numFmtId="9" fontId="0" fillId="0" borderId="0" xfId="2" applyFont="1"/>
    <xf numFmtId="164" fontId="2" fillId="3" borderId="1" xfId="0" applyNumberFormat="1" applyFont="1" applyFill="1" applyBorder="1"/>
    <xf numFmtId="49" fontId="2" fillId="9" borderId="0" xfId="0" applyNumberFormat="1" applyFont="1" applyFill="1" applyBorder="1"/>
    <xf numFmtId="49" fontId="3" fillId="9" borderId="0" xfId="0" applyNumberFormat="1" applyFont="1" applyFill="1" applyBorder="1"/>
    <xf numFmtId="49" fontId="2" fillId="9" borderId="1" xfId="0" applyNumberFormat="1" applyFont="1" applyFill="1" applyBorder="1"/>
    <xf numFmtId="9" fontId="2" fillId="9" borderId="1" xfId="2" applyFont="1" applyFill="1" applyBorder="1"/>
    <xf numFmtId="169" fontId="0" fillId="0" borderId="0" xfId="0" applyNumberFormat="1"/>
    <xf numFmtId="0" fontId="0" fillId="0" borderId="8" xfId="0" applyBorder="1" applyAlignment="1">
      <alignment vertical="center" wrapText="1"/>
    </xf>
    <xf numFmtId="0" fontId="4" fillId="9" borderId="0" xfId="0" applyFont="1" applyFill="1"/>
    <xf numFmtId="49" fontId="4" fillId="0" borderId="0" xfId="0" applyNumberFormat="1" applyFont="1"/>
    <xf numFmtId="49" fontId="0" fillId="0" borderId="12" xfId="0" applyNumberFormat="1" applyBorder="1" applyAlignment="1">
      <alignment wrapText="1"/>
    </xf>
    <xf numFmtId="0" fontId="0" fillId="11" borderId="12" xfId="0" applyFill="1" applyBorder="1"/>
    <xf numFmtId="0" fontId="0" fillId="11" borderId="13" xfId="0" applyFill="1" applyBorder="1"/>
    <xf numFmtId="164" fontId="2" fillId="11" borderId="13" xfId="0" applyNumberFormat="1" applyFont="1" applyFill="1" applyBorder="1"/>
    <xf numFmtId="0" fontId="2" fillId="11" borderId="12" xfId="0" applyFont="1" applyFill="1" applyBorder="1"/>
    <xf numFmtId="0" fontId="2" fillId="11" borderId="13" xfId="0" applyFont="1" applyFill="1" applyBorder="1"/>
    <xf numFmtId="164" fontId="2" fillId="11" borderId="14" xfId="0" applyNumberFormat="1" applyFont="1" applyFill="1" applyBorder="1"/>
    <xf numFmtId="0" fontId="0" fillId="0" borderId="16" xfId="0" applyBorder="1"/>
    <xf numFmtId="49" fontId="0" fillId="0" borderId="17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4" fillId="12" borderId="15" xfId="0" applyNumberFormat="1" applyFont="1" applyFill="1" applyBorder="1" applyAlignment="1">
      <alignment wrapText="1"/>
    </xf>
    <xf numFmtId="49" fontId="3" fillId="11" borderId="1" xfId="0" applyNumberFormat="1" applyFont="1" applyFill="1" applyBorder="1" applyAlignment="1">
      <alignment wrapText="1"/>
    </xf>
    <xf numFmtId="0" fontId="2" fillId="11" borderId="0" xfId="0" applyFont="1" applyFill="1"/>
    <xf numFmtId="49" fontId="0" fillId="7" borderId="1" xfId="0" applyNumberFormat="1" applyFill="1" applyBorder="1" applyAlignment="1">
      <alignment wrapText="1"/>
    </xf>
    <xf numFmtId="49" fontId="2" fillId="0" borderId="11" xfId="0" applyNumberFormat="1" applyFont="1" applyBorder="1"/>
    <xf numFmtId="0" fontId="2" fillId="0" borderId="19" xfId="0" applyFont="1" applyBorder="1"/>
    <xf numFmtId="0" fontId="2" fillId="7" borderId="1" xfId="0" applyFont="1" applyFill="1" applyBorder="1"/>
    <xf numFmtId="49" fontId="0" fillId="13" borderId="1" xfId="0" applyNumberFormat="1" applyFont="1" applyFill="1" applyBorder="1"/>
    <xf numFmtId="168" fontId="0" fillId="0" borderId="1" xfId="0" applyNumberFormat="1" applyBorder="1"/>
    <xf numFmtId="0" fontId="2" fillId="0" borderId="1" xfId="0" applyFont="1" applyFill="1" applyBorder="1"/>
    <xf numFmtId="0" fontId="3" fillId="7" borderId="0" xfId="0" applyFont="1" applyFill="1"/>
    <xf numFmtId="0" fontId="0" fillId="7" borderId="0" xfId="0" applyFill="1"/>
    <xf numFmtId="49" fontId="2" fillId="6" borderId="12" xfId="0" applyNumberFormat="1" applyFont="1" applyFill="1" applyBorder="1"/>
    <xf numFmtId="0" fontId="7" fillId="0" borderId="13" xfId="0" applyFont="1" applyBorder="1"/>
    <xf numFmtId="0" fontId="0" fillId="0" borderId="13" xfId="0" applyBorder="1"/>
    <xf numFmtId="164" fontId="7" fillId="6" borderId="14" xfId="0" applyNumberFormat="1" applyFont="1" applyFill="1" applyBorder="1"/>
    <xf numFmtId="10" fontId="0" fillId="0" borderId="0" xfId="0" applyNumberFormat="1"/>
    <xf numFmtId="170" fontId="0" fillId="0" borderId="1" xfId="0" applyNumberFormat="1" applyBorder="1"/>
    <xf numFmtId="9" fontId="0" fillId="0" borderId="1" xfId="0" applyNumberFormat="1" applyBorder="1"/>
    <xf numFmtId="164" fontId="2" fillId="3" borderId="1" xfId="1" applyNumberFormat="1" applyFont="1" applyFill="1" applyBorder="1"/>
    <xf numFmtId="0" fontId="0" fillId="0" borderId="19" xfId="0" applyBorder="1"/>
    <xf numFmtId="9" fontId="0" fillId="0" borderId="19" xfId="0" applyNumberFormat="1" applyBorder="1"/>
    <xf numFmtId="164" fontId="2" fillId="3" borderId="19" xfId="0" applyNumberFormat="1" applyFont="1" applyFill="1" applyBorder="1"/>
    <xf numFmtId="0" fontId="0" fillId="0" borderId="20" xfId="0" applyBorder="1"/>
    <xf numFmtId="9" fontId="0" fillId="0" borderId="20" xfId="0" applyNumberFormat="1" applyBorder="1"/>
    <xf numFmtId="164" fontId="2" fillId="3" borderId="20" xfId="0" applyNumberFormat="1" applyFont="1" applyFill="1" applyBorder="1"/>
    <xf numFmtId="49" fontId="0" fillId="0" borderId="0" xfId="0" applyNumberFormat="1" applyBorder="1"/>
    <xf numFmtId="170" fontId="0" fillId="0" borderId="19" xfId="0" applyNumberFormat="1" applyBorder="1"/>
    <xf numFmtId="0" fontId="0" fillId="14" borderId="0" xfId="0" applyFill="1"/>
    <xf numFmtId="169" fontId="0" fillId="14" borderId="8" xfId="0" applyNumberForma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/>
    </xf>
    <xf numFmtId="164" fontId="0" fillId="14" borderId="1" xfId="0" applyNumberFormat="1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9" fontId="2" fillId="7" borderId="1" xfId="0" applyNumberFormat="1" applyFont="1" applyFill="1" applyBorder="1"/>
    <xf numFmtId="171" fontId="0" fillId="0" borderId="0" xfId="0" applyNumberFormat="1"/>
    <xf numFmtId="172" fontId="0" fillId="0" borderId="1" xfId="0" applyNumberFormat="1" applyBorder="1"/>
    <xf numFmtId="172" fontId="0" fillId="0" borderId="1" xfId="2" applyNumberFormat="1" applyFont="1" applyBorder="1"/>
    <xf numFmtId="172" fontId="8" fillId="6" borderId="1" xfId="0" applyNumberFormat="1" applyFont="1" applyFill="1" applyBorder="1"/>
    <xf numFmtId="172" fontId="2" fillId="6" borderId="1" xfId="0" applyNumberFormat="1" applyFont="1" applyFill="1" applyBorder="1"/>
    <xf numFmtId="165" fontId="0" fillId="8" borderId="7" xfId="0" applyNumberFormat="1" applyFill="1" applyBorder="1"/>
    <xf numFmtId="49" fontId="0" fillId="8" borderId="21" xfId="0" applyNumberFormat="1" applyFill="1" applyBorder="1"/>
    <xf numFmtId="0" fontId="0" fillId="8" borderId="21" xfId="0" applyFill="1" applyBorder="1"/>
    <xf numFmtId="2" fontId="0" fillId="0" borderId="1" xfId="0" applyNumberFormat="1" applyBorder="1"/>
    <xf numFmtId="49" fontId="2" fillId="0" borderId="0" xfId="0" applyNumberFormat="1" applyFont="1" applyAlignment="1">
      <alignment wrapText="1"/>
    </xf>
    <xf numFmtId="0" fontId="0" fillId="9" borderId="0" xfId="0" applyFont="1" applyFill="1"/>
    <xf numFmtId="10" fontId="2" fillId="7" borderId="0" xfId="2" applyNumberFormat="1" applyFont="1" applyFill="1"/>
    <xf numFmtId="9" fontId="2" fillId="7" borderId="0" xfId="0" applyNumberFormat="1" applyFont="1" applyFill="1"/>
    <xf numFmtId="10" fontId="0" fillId="0" borderId="1" xfId="2" applyNumberFormat="1" applyFont="1" applyBorder="1"/>
    <xf numFmtId="9" fontId="0" fillId="0" borderId="1" xfId="2" applyFont="1" applyBorder="1"/>
    <xf numFmtId="167" fontId="0" fillId="0" borderId="1" xfId="0" applyNumberFormat="1" applyBorder="1"/>
    <xf numFmtId="167" fontId="0" fillId="0" borderId="19" xfId="0" applyNumberFormat="1" applyBorder="1"/>
    <xf numFmtId="167" fontId="0" fillId="0" borderId="0" xfId="0" applyNumberFormat="1" applyBorder="1"/>
    <xf numFmtId="167" fontId="0" fillId="0" borderId="20" xfId="0" applyNumberFormat="1" applyBorder="1"/>
    <xf numFmtId="165" fontId="0" fillId="0" borderId="1" xfId="1" applyNumberFormat="1" applyFont="1" applyBorder="1"/>
    <xf numFmtId="165" fontId="6" fillId="0" borderId="1" xfId="0" applyNumberFormat="1" applyFont="1" applyBorder="1"/>
    <xf numFmtId="165" fontId="0" fillId="0" borderId="19" xfId="0" applyNumberFormat="1" applyBorder="1"/>
    <xf numFmtId="165" fontId="6" fillId="0" borderId="19" xfId="0" applyNumberFormat="1" applyFont="1" applyBorder="1"/>
    <xf numFmtId="165" fontId="0" fillId="0" borderId="0" xfId="0" applyNumberFormat="1" applyBorder="1"/>
    <xf numFmtId="165" fontId="6" fillId="0" borderId="0" xfId="0" applyNumberFormat="1" applyFont="1" applyBorder="1"/>
    <xf numFmtId="165" fontId="0" fillId="0" borderId="20" xfId="0" applyNumberFormat="1" applyBorder="1"/>
    <xf numFmtId="165" fontId="6" fillId="0" borderId="20" xfId="0" applyNumberFormat="1" applyFont="1" applyBorder="1"/>
    <xf numFmtId="165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wrapText="1"/>
    </xf>
    <xf numFmtId="49" fontId="4" fillId="0" borderId="22" xfId="0" applyNumberFormat="1" applyFont="1" applyBorder="1" applyAlignment="1">
      <alignment wrapText="1"/>
    </xf>
    <xf numFmtId="49" fontId="0" fillId="0" borderId="23" xfId="0" applyNumberFormat="1" applyBorder="1" applyAlignment="1">
      <alignment wrapText="1"/>
    </xf>
    <xf numFmtId="49" fontId="2" fillId="10" borderId="24" xfId="0" applyNumberFormat="1" applyFont="1" applyFill="1" applyBorder="1" applyAlignment="1">
      <alignment wrapText="1"/>
    </xf>
    <xf numFmtId="164" fontId="2" fillId="10" borderId="1" xfId="0" applyNumberFormat="1" applyFont="1" applyFill="1" applyBorder="1"/>
    <xf numFmtId="164" fontId="0" fillId="0" borderId="1" xfId="0" applyNumberFormat="1" applyBorder="1" applyAlignment="1">
      <alignment wrapText="1"/>
    </xf>
    <xf numFmtId="2" fontId="2" fillId="0" borderId="1" xfId="0" applyNumberFormat="1" applyFont="1" applyBorder="1"/>
    <xf numFmtId="0" fontId="9" fillId="0" borderId="0" xfId="0" applyFont="1"/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0" fillId="0" borderId="25" xfId="0" applyFill="1" applyBorder="1"/>
    <xf numFmtId="164" fontId="0" fillId="0" borderId="25" xfId="0" applyNumberFormat="1" applyFill="1" applyBorder="1"/>
    <xf numFmtId="164" fontId="2" fillId="10" borderId="25" xfId="0" applyNumberFormat="1" applyFont="1" applyFill="1" applyBorder="1"/>
    <xf numFmtId="171" fontId="0" fillId="0" borderId="1" xfId="2" applyNumberFormat="1" applyFont="1" applyBorder="1"/>
    <xf numFmtId="49" fontId="0" fillId="0" borderId="2" xfId="0" applyNumberFormat="1" applyFill="1" applyBorder="1"/>
    <xf numFmtId="164" fontId="0" fillId="0" borderId="4" xfId="1" applyNumberFormat="1" applyFont="1" applyBorder="1"/>
    <xf numFmtId="49" fontId="0" fillId="0" borderId="5" xfId="0" applyNumberFormat="1" applyFill="1" applyBorder="1"/>
    <xf numFmtId="164" fontId="0" fillId="0" borderId="6" xfId="1" applyNumberFormat="1" applyFont="1" applyBorder="1"/>
    <xf numFmtId="0" fontId="0" fillId="0" borderId="5" xfId="0" applyBorder="1"/>
    <xf numFmtId="0" fontId="0" fillId="0" borderId="26" xfId="0" applyBorder="1"/>
    <xf numFmtId="0" fontId="0" fillId="0" borderId="27" xfId="0" applyBorder="1"/>
    <xf numFmtId="164" fontId="0" fillId="0" borderId="28" xfId="0" applyNumberFormat="1" applyBorder="1"/>
    <xf numFmtId="10" fontId="0" fillId="7" borderId="1" xfId="2" applyNumberFormat="1" applyFont="1" applyFill="1" applyBorder="1"/>
    <xf numFmtId="49" fontId="2" fillId="0" borderId="5" xfId="0" applyNumberFormat="1" applyFont="1" applyBorder="1"/>
    <xf numFmtId="0" fontId="11" fillId="8" borderId="2" xfId="0" applyFont="1" applyFill="1" applyBorder="1" applyAlignment="1">
      <alignment vertical="center" wrapText="1"/>
    </xf>
    <xf numFmtId="0" fontId="0" fillId="8" borderId="3" xfId="0" applyFill="1" applyBorder="1"/>
    <xf numFmtId="0" fontId="0" fillId="8" borderId="4" xfId="0" applyFill="1" applyBorder="1"/>
    <xf numFmtId="0" fontId="10" fillId="8" borderId="5" xfId="0" applyFont="1" applyFill="1" applyBorder="1" applyAlignment="1">
      <alignment vertical="center" wrapText="1"/>
    </xf>
    <xf numFmtId="164" fontId="0" fillId="8" borderId="0" xfId="0" applyNumberFormat="1" applyFill="1" applyBorder="1"/>
    <xf numFmtId="164" fontId="0" fillId="8" borderId="6" xfId="0" applyNumberFormat="1" applyFill="1" applyBorder="1"/>
    <xf numFmtId="0" fontId="10" fillId="8" borderId="26" xfId="0" applyFont="1" applyFill="1" applyBorder="1" applyAlignment="1">
      <alignment vertical="center" wrapText="1"/>
    </xf>
    <xf numFmtId="164" fontId="0" fillId="8" borderId="27" xfId="0" applyNumberFormat="1" applyFill="1" applyBorder="1"/>
    <xf numFmtId="164" fontId="0" fillId="8" borderId="28" xfId="0" applyNumberFormat="1" applyFill="1" applyBorder="1"/>
    <xf numFmtId="0" fontId="0" fillId="4" borderId="8" xfId="0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3" xfId="0" applyFill="1" applyBorder="1"/>
    <xf numFmtId="0" fontId="2" fillId="4" borderId="4" xfId="0" applyFont="1" applyFill="1" applyBorder="1"/>
    <xf numFmtId="0" fontId="0" fillId="4" borderId="29" xfId="0" applyFill="1" applyBorder="1" applyAlignment="1">
      <alignment horizontal="center" vertical="center" wrapText="1"/>
    </xf>
    <xf numFmtId="164" fontId="0" fillId="4" borderId="6" xfId="0" applyNumberFormat="1" applyFill="1" applyBorder="1"/>
    <xf numFmtId="0" fontId="0" fillId="4" borderId="30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164" fontId="0" fillId="4" borderId="28" xfId="0" applyNumberFormat="1" applyFill="1" applyBorder="1"/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31" xfId="0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topLeftCell="A58" workbookViewId="0">
      <selection activeCell="D10" sqref="D10"/>
    </sheetView>
  </sheetViews>
  <sheetFormatPr baseColWidth="10" defaultRowHeight="14.5" x14ac:dyDescent="0.35"/>
  <cols>
    <col min="1" max="1" width="31.26953125" customWidth="1"/>
    <col min="2" max="2" width="12.81640625" bestFit="1" customWidth="1"/>
    <col min="3" max="3" width="29.26953125" customWidth="1"/>
    <col min="4" max="4" width="12.81640625" bestFit="1" customWidth="1"/>
  </cols>
  <sheetData>
    <row r="1" spans="1:4" ht="21" x14ac:dyDescent="0.5">
      <c r="A1" s="4" t="s">
        <v>0</v>
      </c>
    </row>
    <row r="3" spans="1:4" ht="15.5" x14ac:dyDescent="0.35">
      <c r="A3" s="5" t="s">
        <v>1</v>
      </c>
      <c r="B3" s="7"/>
    </row>
    <row r="4" spans="1:4" x14ac:dyDescent="0.35">
      <c r="A4" s="10" t="s">
        <v>2</v>
      </c>
      <c r="B4" s="11" t="s">
        <v>3</v>
      </c>
      <c r="C4" s="12" t="s">
        <v>4</v>
      </c>
      <c r="D4" s="11" t="s">
        <v>3</v>
      </c>
    </row>
    <row r="5" spans="1:4" x14ac:dyDescent="0.35">
      <c r="A5" s="13" t="s">
        <v>5</v>
      </c>
      <c r="B5" s="14">
        <v>12940</v>
      </c>
      <c r="C5" s="13" t="s">
        <v>8</v>
      </c>
      <c r="D5" s="14">
        <f>B10*2.9*0.76</f>
        <v>343319.28399999999</v>
      </c>
    </row>
    <row r="6" spans="1:4" x14ac:dyDescent="0.35">
      <c r="A6" s="13" t="s">
        <v>35</v>
      </c>
      <c r="B6" s="14">
        <v>33670</v>
      </c>
      <c r="C6" s="13" t="s">
        <v>7</v>
      </c>
      <c r="D6" s="14">
        <f>B10*2.8*0.24</f>
        <v>104678.11199999999</v>
      </c>
    </row>
    <row r="7" spans="1:4" x14ac:dyDescent="0.35">
      <c r="A7" s="13" t="s">
        <v>6</v>
      </c>
      <c r="B7" s="14">
        <v>24970</v>
      </c>
      <c r="C7" s="13" t="s">
        <v>10</v>
      </c>
      <c r="D7" s="14">
        <f>B11*2.7</f>
        <v>146852.622</v>
      </c>
    </row>
    <row r="8" spans="1:4" x14ac:dyDescent="0.35">
      <c r="A8" s="13" t="s">
        <v>9</v>
      </c>
      <c r="B8" s="14">
        <v>29750</v>
      </c>
      <c r="C8" s="13" t="s">
        <v>37</v>
      </c>
      <c r="D8" s="14">
        <f>B12*2.6</f>
        <v>208753.636</v>
      </c>
    </row>
    <row r="9" spans="1:4" x14ac:dyDescent="0.35">
      <c r="A9" s="13" t="s">
        <v>11</v>
      </c>
      <c r="B9" s="14">
        <v>24680</v>
      </c>
      <c r="C9" s="13" t="s">
        <v>13</v>
      </c>
      <c r="D9" s="14">
        <f>B6*1.65</f>
        <v>55555.5</v>
      </c>
    </row>
    <row r="10" spans="1:4" x14ac:dyDescent="0.35">
      <c r="A10" s="13" t="s">
        <v>12</v>
      </c>
      <c r="B10" s="14">
        <f>'Kalkuliertes Team'!D13</f>
        <v>155771</v>
      </c>
      <c r="C10" s="13" t="s">
        <v>15</v>
      </c>
      <c r="D10" s="14">
        <v>1290</v>
      </c>
    </row>
    <row r="11" spans="1:4" x14ac:dyDescent="0.35">
      <c r="A11" s="13" t="s">
        <v>14</v>
      </c>
      <c r="B11" s="14">
        <f>'Kalkuliertes Team'!D19</f>
        <v>54389.86</v>
      </c>
      <c r="C11" s="11"/>
      <c r="D11" s="11"/>
    </row>
    <row r="12" spans="1:4" x14ac:dyDescent="0.35">
      <c r="A12" s="13" t="s">
        <v>16</v>
      </c>
      <c r="B12" s="14">
        <f>'Kalkuliertes Team'!D25</f>
        <v>80289.86</v>
      </c>
      <c r="C12" s="13"/>
      <c r="D12" s="14"/>
    </row>
    <row r="13" spans="1:4" x14ac:dyDescent="0.35">
      <c r="A13" s="13" t="s">
        <v>36</v>
      </c>
      <c r="B13" s="14">
        <v>35000</v>
      </c>
      <c r="C13" s="13"/>
      <c r="D13" s="14"/>
    </row>
    <row r="14" spans="1:4" x14ac:dyDescent="0.35">
      <c r="A14" s="13" t="s">
        <v>17</v>
      </c>
      <c r="B14" s="14">
        <f>(B10+B11+B12+B13)*0.224</f>
        <v>72900.961279999989</v>
      </c>
      <c r="C14" s="13"/>
      <c r="D14" s="14"/>
    </row>
    <row r="15" spans="1:4" x14ac:dyDescent="0.35">
      <c r="A15" s="13" t="s">
        <v>18</v>
      </c>
      <c r="B15" s="14">
        <f>(B10+B11+B12+B13)*4.4/100</f>
        <v>14319.831680000001</v>
      </c>
      <c r="C15" s="13"/>
      <c r="D15" s="14"/>
    </row>
    <row r="16" spans="1:4" x14ac:dyDescent="0.35">
      <c r="A16" s="13" t="s">
        <v>19</v>
      </c>
      <c r="B16" s="14">
        <f>(B10+B11+B12+B13)*0.03</f>
        <v>9763.5215999999982</v>
      </c>
      <c r="C16" s="13"/>
      <c r="D16" s="14"/>
    </row>
    <row r="17" spans="1:4" x14ac:dyDescent="0.35">
      <c r="A17" s="13" t="s">
        <v>20</v>
      </c>
      <c r="B17" s="14">
        <v>34580</v>
      </c>
      <c r="C17" s="13"/>
      <c r="D17" s="14"/>
    </row>
    <row r="18" spans="1:4" x14ac:dyDescent="0.35">
      <c r="A18" s="13" t="s">
        <v>86</v>
      </c>
      <c r="B18" s="14">
        <v>16580</v>
      </c>
      <c r="C18" s="13"/>
      <c r="D18" s="14"/>
    </row>
    <row r="19" spans="1:4" x14ac:dyDescent="0.35">
      <c r="A19" s="13" t="s">
        <v>22</v>
      </c>
      <c r="B19" s="14">
        <v>8350</v>
      </c>
      <c r="C19" s="13"/>
      <c r="D19" s="14"/>
    </row>
    <row r="20" spans="1:4" x14ac:dyDescent="0.35">
      <c r="A20" s="13" t="s">
        <v>23</v>
      </c>
      <c r="B20" s="14">
        <f>6750*12</f>
        <v>81000</v>
      </c>
      <c r="C20" s="13"/>
      <c r="D20" s="14"/>
    </row>
    <row r="21" spans="1:4" x14ac:dyDescent="0.35">
      <c r="A21" s="13" t="s">
        <v>24</v>
      </c>
      <c r="B21" s="14">
        <v>5860</v>
      </c>
      <c r="C21" s="13"/>
      <c r="D21" s="14"/>
    </row>
    <row r="22" spans="1:4" x14ac:dyDescent="0.35">
      <c r="A22" s="13" t="s">
        <v>25</v>
      </c>
      <c r="B22" s="14">
        <v>1956</v>
      </c>
      <c r="C22" s="13"/>
      <c r="D22" s="14"/>
    </row>
    <row r="23" spans="1:4" x14ac:dyDescent="0.35">
      <c r="A23" s="13" t="s">
        <v>47</v>
      </c>
      <c r="B23" s="14">
        <v>12690</v>
      </c>
      <c r="C23" s="13"/>
      <c r="D23" s="14"/>
    </row>
    <row r="24" spans="1:4" x14ac:dyDescent="0.35">
      <c r="A24" s="13" t="s">
        <v>48</v>
      </c>
      <c r="B24" s="14">
        <v>4920</v>
      </c>
      <c r="C24" s="13"/>
      <c r="D24" s="14"/>
    </row>
    <row r="25" spans="1:4" x14ac:dyDescent="0.35">
      <c r="A25" s="13" t="s">
        <v>26</v>
      </c>
      <c r="B25" s="14">
        <v>5480</v>
      </c>
      <c r="C25" s="13"/>
      <c r="D25" s="14"/>
    </row>
    <row r="26" spans="1:4" x14ac:dyDescent="0.35">
      <c r="A26" s="13" t="s">
        <v>27</v>
      </c>
      <c r="B26" s="14">
        <v>9680</v>
      </c>
      <c r="C26" s="13"/>
      <c r="D26" s="14"/>
    </row>
    <row r="27" spans="1:4" x14ac:dyDescent="0.35">
      <c r="A27" s="13" t="s">
        <v>28</v>
      </c>
      <c r="B27" s="14">
        <v>7140</v>
      </c>
      <c r="C27" s="13"/>
      <c r="D27" s="14"/>
    </row>
    <row r="28" spans="1:4" x14ac:dyDescent="0.35">
      <c r="A28" s="13" t="s">
        <v>30</v>
      </c>
      <c r="B28" s="14">
        <v>9520</v>
      </c>
      <c r="C28" s="13"/>
      <c r="D28" s="14"/>
    </row>
    <row r="29" spans="1:4" x14ac:dyDescent="0.35">
      <c r="A29" s="13" t="s">
        <v>31</v>
      </c>
      <c r="B29" s="14">
        <v>1890</v>
      </c>
      <c r="C29" s="13"/>
      <c r="D29" s="14"/>
    </row>
    <row r="30" spans="1:4" x14ac:dyDescent="0.35">
      <c r="A30" s="13" t="s">
        <v>29</v>
      </c>
      <c r="B30" s="14">
        <v>3750</v>
      </c>
      <c r="C30" s="13"/>
      <c r="D30" s="11"/>
    </row>
    <row r="31" spans="1:4" x14ac:dyDescent="0.35">
      <c r="A31" s="13" t="s">
        <v>32</v>
      </c>
      <c r="B31" s="14">
        <v>2890</v>
      </c>
      <c r="C31" s="13"/>
      <c r="D31" s="11"/>
    </row>
    <row r="32" spans="1:4" x14ac:dyDescent="0.35">
      <c r="A32" s="13" t="s">
        <v>33</v>
      </c>
      <c r="B32" s="14">
        <f>B33-SUM(B5:B31)</f>
        <v>105718.11944000004</v>
      </c>
      <c r="C32" s="11"/>
      <c r="D32" s="14" t="s">
        <v>34</v>
      </c>
    </row>
    <row r="33" spans="1:4" x14ac:dyDescent="0.35">
      <c r="A33" s="11"/>
      <c r="B33" s="14">
        <f>D33</f>
        <v>860449.15399999986</v>
      </c>
      <c r="C33" s="11"/>
      <c r="D33" s="14">
        <f>SUM(D5:D32)</f>
        <v>860449.15399999986</v>
      </c>
    </row>
    <row r="35" spans="1:4" x14ac:dyDescent="0.35">
      <c r="A35" s="20" t="s">
        <v>42</v>
      </c>
    </row>
    <row r="36" spans="1:4" x14ac:dyDescent="0.35">
      <c r="A36" s="20" t="s">
        <v>38</v>
      </c>
      <c r="B36" s="22"/>
      <c r="C36" s="22"/>
      <c r="D36" s="22"/>
    </row>
    <row r="37" spans="1:4" x14ac:dyDescent="0.35">
      <c r="A37" s="144" t="s">
        <v>43</v>
      </c>
      <c r="B37" s="32" t="s">
        <v>34</v>
      </c>
      <c r="C37" s="32"/>
      <c r="D37" s="145">
        <v>650</v>
      </c>
    </row>
    <row r="38" spans="1:4" x14ac:dyDescent="0.35">
      <c r="A38" s="146" t="s">
        <v>57</v>
      </c>
      <c r="B38" s="22" t="s">
        <v>34</v>
      </c>
      <c r="C38" s="22"/>
      <c r="D38" s="147">
        <v>240</v>
      </c>
    </row>
    <row r="39" spans="1:4" x14ac:dyDescent="0.35">
      <c r="A39" s="146" t="s">
        <v>186</v>
      </c>
      <c r="B39" s="22"/>
      <c r="C39" s="22"/>
      <c r="D39" s="147">
        <v>480</v>
      </c>
    </row>
    <row r="40" spans="1:4" x14ac:dyDescent="0.35">
      <c r="A40" s="148" t="s">
        <v>46</v>
      </c>
      <c r="B40" s="22"/>
      <c r="C40" s="22"/>
      <c r="D40" s="35">
        <f>B17</f>
        <v>34580</v>
      </c>
    </row>
    <row r="41" spans="1:4" x14ac:dyDescent="0.35">
      <c r="A41" s="148" t="s">
        <v>30</v>
      </c>
      <c r="B41" s="22"/>
      <c r="C41" s="22"/>
      <c r="D41" s="35">
        <f>B28</f>
        <v>9520</v>
      </c>
    </row>
    <row r="42" spans="1:4" x14ac:dyDescent="0.35">
      <c r="A42" s="148" t="s">
        <v>31</v>
      </c>
      <c r="B42" s="22"/>
      <c r="C42" s="22"/>
      <c r="D42" s="35">
        <f>B29</f>
        <v>1890</v>
      </c>
    </row>
    <row r="43" spans="1:4" x14ac:dyDescent="0.35">
      <c r="A43" s="149" t="s">
        <v>49</v>
      </c>
      <c r="B43" s="150"/>
      <c r="C43" s="150"/>
      <c r="D43" s="151">
        <f>B32</f>
        <v>105718.11944000004</v>
      </c>
    </row>
    <row r="45" spans="1:4" x14ac:dyDescent="0.35">
      <c r="A45" s="21" t="s">
        <v>50</v>
      </c>
    </row>
    <row r="46" spans="1:4" x14ac:dyDescent="0.35">
      <c r="A46" s="11" t="s">
        <v>51</v>
      </c>
      <c r="B46" s="13" t="s">
        <v>250</v>
      </c>
      <c r="C46" s="13"/>
      <c r="D46" s="14">
        <f>2600*14*1.3</f>
        <v>47320</v>
      </c>
    </row>
    <row r="47" spans="1:4" x14ac:dyDescent="0.35">
      <c r="A47" s="11" t="s">
        <v>52</v>
      </c>
      <c r="B47" s="13" t="s">
        <v>251</v>
      </c>
      <c r="C47" s="13"/>
      <c r="D47" s="14">
        <f>275000*0.005</f>
        <v>1375</v>
      </c>
    </row>
    <row r="48" spans="1:4" x14ac:dyDescent="0.35">
      <c r="A48" s="11" t="s">
        <v>53</v>
      </c>
      <c r="B48" s="13" t="s">
        <v>55</v>
      </c>
      <c r="C48" s="13"/>
      <c r="D48" s="14">
        <v>45600</v>
      </c>
    </row>
    <row r="49" spans="1:5" x14ac:dyDescent="0.35">
      <c r="A49" s="11" t="s">
        <v>54</v>
      </c>
      <c r="B49" s="13" t="s">
        <v>56</v>
      </c>
      <c r="C49" s="13"/>
      <c r="D49" s="14">
        <v>8500</v>
      </c>
    </row>
    <row r="51" spans="1:5" x14ac:dyDescent="0.35">
      <c r="A51" s="1" t="s">
        <v>80</v>
      </c>
      <c r="B51" s="8" t="s">
        <v>44</v>
      </c>
      <c r="D51" s="152">
        <f>D5/(D5+D6)</f>
        <v>0.76634214186369964</v>
      </c>
    </row>
    <row r="52" spans="1:5" x14ac:dyDescent="0.35">
      <c r="B52" s="8" t="s">
        <v>45</v>
      </c>
      <c r="D52" s="152">
        <f>D6/(D5+D6)</f>
        <v>0.23365785813630044</v>
      </c>
    </row>
    <row r="53" spans="1:5" x14ac:dyDescent="0.35">
      <c r="B53" s="46"/>
    </row>
    <row r="54" spans="1:5" ht="15.5" x14ac:dyDescent="0.35">
      <c r="A54" s="5" t="s">
        <v>189</v>
      </c>
      <c r="B54" s="8" t="s">
        <v>119</v>
      </c>
      <c r="D54" s="1" t="s">
        <v>196</v>
      </c>
    </row>
    <row r="55" spans="1:5" x14ac:dyDescent="0.35">
      <c r="A55" s="11" t="s">
        <v>190</v>
      </c>
      <c r="B55" s="143">
        <f>D5/(D5+D6+D7+D8)</f>
        <v>0.42722464275902861</v>
      </c>
      <c r="D55" s="113">
        <f>D5/(D5+D6+D7+D8+D9)</f>
        <v>0.39959916902660392</v>
      </c>
      <c r="E55" s="46">
        <f>D55</f>
        <v>0.39959916902660392</v>
      </c>
    </row>
    <row r="56" spans="1:5" x14ac:dyDescent="0.35">
      <c r="A56" s="11" t="s">
        <v>191</v>
      </c>
      <c r="B56" s="143">
        <f>D6/(D5+D6+D7+D8)</f>
        <v>0.13026087111346063</v>
      </c>
      <c r="D56" s="113">
        <f>D6/(D5+D6+D7+D8+D9)</f>
        <v>0.12183785915874674</v>
      </c>
      <c r="E56" s="46">
        <f t="shared" ref="E56:E59" si="0">D56</f>
        <v>0.12183785915874674</v>
      </c>
    </row>
    <row r="57" spans="1:5" x14ac:dyDescent="0.35">
      <c r="A57" s="11" t="s">
        <v>70</v>
      </c>
      <c r="B57" s="143">
        <f>D7/(D5+D6+D7+D8)</f>
        <v>0.18274260111813781</v>
      </c>
      <c r="D57" s="113">
        <f>D7/(D5+D6+D7+D8+D9)</f>
        <v>0.17092598189322211</v>
      </c>
      <c r="E57" s="46">
        <f t="shared" si="0"/>
        <v>0.17092598189322211</v>
      </c>
    </row>
    <row r="58" spans="1:5" x14ac:dyDescent="0.35">
      <c r="A58" s="11" t="s">
        <v>192</v>
      </c>
      <c r="B58" s="143">
        <f>D8/(D5+D6+D7+D8)</f>
        <v>0.25977188500937309</v>
      </c>
      <c r="D58" s="113">
        <f>D8/(D5+D6+D7+D8+D9)</f>
        <v>0.24297434884805991</v>
      </c>
      <c r="E58" s="46">
        <f t="shared" si="0"/>
        <v>0.24297434884805991</v>
      </c>
    </row>
    <row r="59" spans="1:5" x14ac:dyDescent="0.35">
      <c r="A59" s="11" t="s">
        <v>193</v>
      </c>
      <c r="B59" s="84" t="s">
        <v>34</v>
      </c>
      <c r="D59" s="113">
        <f>D9/(D5+D6+D7+D8+D9)</f>
        <v>6.466264107336743E-2</v>
      </c>
      <c r="E59" s="46">
        <f t="shared" si="0"/>
        <v>6.466264107336743E-2</v>
      </c>
    </row>
    <row r="60" spans="1:5" x14ac:dyDescent="0.35">
      <c r="B60" s="82">
        <f>SUM(B55:B59)</f>
        <v>1</v>
      </c>
      <c r="D60" s="114">
        <f>SUM(D55:D59)</f>
        <v>1</v>
      </c>
      <c r="E60" s="102">
        <f>E55+E56+E57+E58+E59</f>
        <v>1</v>
      </c>
    </row>
  </sheetData>
  <pageMargins left="0.7" right="0.7" top="0.78740157499999996" bottom="0.78740157499999996" header="0.3" footer="0.3"/>
  <pageSetup paperSize="9" scale="83" fitToWidth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2"/>
  <sheetViews>
    <sheetView topLeftCell="A49" workbookViewId="0">
      <selection activeCell="A59" sqref="A59"/>
    </sheetView>
  </sheetViews>
  <sheetFormatPr baseColWidth="10" defaultRowHeight="14.5" x14ac:dyDescent="0.35"/>
  <cols>
    <col min="1" max="1" width="33.81640625" customWidth="1"/>
    <col min="2" max="2" width="13.81640625" customWidth="1"/>
    <col min="3" max="3" width="13" customWidth="1"/>
    <col min="4" max="4" width="12.81640625" customWidth="1"/>
    <col min="5" max="5" width="13.81640625" customWidth="1"/>
    <col min="6" max="6" width="12.7265625" customWidth="1"/>
    <col min="7" max="7" width="13.1796875" customWidth="1"/>
  </cols>
  <sheetData>
    <row r="1" spans="1:7" ht="21" x14ac:dyDescent="0.5">
      <c r="A1" s="41" t="s">
        <v>66</v>
      </c>
      <c r="B1" t="s">
        <v>67</v>
      </c>
    </row>
    <row r="3" spans="1:7" s="18" customFormat="1" ht="29" x14ac:dyDescent="0.35">
      <c r="A3" s="16" t="s">
        <v>2</v>
      </c>
      <c r="B3" s="17" t="s">
        <v>3</v>
      </c>
      <c r="C3" s="17" t="s">
        <v>38</v>
      </c>
      <c r="D3" s="17" t="s">
        <v>39</v>
      </c>
      <c r="E3" s="38" t="s">
        <v>41</v>
      </c>
      <c r="F3" s="16" t="s">
        <v>40</v>
      </c>
      <c r="G3" s="16" t="s">
        <v>65</v>
      </c>
    </row>
    <row r="4" spans="1:7" x14ac:dyDescent="0.35">
      <c r="A4" s="13" t="s">
        <v>5</v>
      </c>
      <c r="B4" s="15">
        <f>'Angabe Kostenermittlung'!B5</f>
        <v>12940</v>
      </c>
      <c r="C4" s="11"/>
      <c r="D4" s="11"/>
      <c r="E4" s="39">
        <f>B4-C4+D4</f>
        <v>12940</v>
      </c>
      <c r="F4" s="11"/>
      <c r="G4" s="28">
        <f>E4-F4</f>
        <v>12940</v>
      </c>
    </row>
    <row r="5" spans="1:7" x14ac:dyDescent="0.35">
      <c r="A5" s="13" t="s">
        <v>35</v>
      </c>
      <c r="B5" s="15">
        <f>'Angabe Kostenermittlung'!B6</f>
        <v>33670</v>
      </c>
      <c r="C5" s="11"/>
      <c r="D5" s="11"/>
      <c r="E5" s="39">
        <f t="shared" ref="E5:E35" si="0">B5-C5+D5</f>
        <v>33670</v>
      </c>
      <c r="F5" s="15">
        <f>E5</f>
        <v>33670</v>
      </c>
      <c r="G5" s="28">
        <f t="shared" ref="G5:G35" si="1">E5-F5</f>
        <v>0</v>
      </c>
    </row>
    <row r="6" spans="1:7" x14ac:dyDescent="0.35">
      <c r="A6" s="13" t="s">
        <v>6</v>
      </c>
      <c r="B6" s="15">
        <f>'Angabe Kostenermittlung'!B7</f>
        <v>24970</v>
      </c>
      <c r="C6" s="11"/>
      <c r="D6" s="11"/>
      <c r="E6" s="39">
        <f t="shared" si="0"/>
        <v>24970</v>
      </c>
      <c r="F6" s="11"/>
      <c r="G6" s="28">
        <f t="shared" si="1"/>
        <v>24970</v>
      </c>
    </row>
    <row r="7" spans="1:7" x14ac:dyDescent="0.35">
      <c r="A7" s="13" t="s">
        <v>9</v>
      </c>
      <c r="B7" s="15">
        <f>'Angabe Kostenermittlung'!B8</f>
        <v>29750</v>
      </c>
      <c r="C7" s="11"/>
      <c r="D7" s="11"/>
      <c r="E7" s="39">
        <f t="shared" si="0"/>
        <v>29750</v>
      </c>
      <c r="F7" s="11"/>
      <c r="G7" s="28">
        <f t="shared" si="1"/>
        <v>29750</v>
      </c>
    </row>
    <row r="8" spans="1:7" x14ac:dyDescent="0.35">
      <c r="A8" s="13" t="s">
        <v>11</v>
      </c>
      <c r="B8" s="15">
        <f>'Angabe Kostenermittlung'!B9</f>
        <v>24680</v>
      </c>
      <c r="C8" s="11"/>
      <c r="D8" s="11"/>
      <c r="E8" s="39">
        <f t="shared" si="0"/>
        <v>24680</v>
      </c>
      <c r="F8" s="11"/>
      <c r="G8" s="28">
        <f t="shared" si="1"/>
        <v>24680</v>
      </c>
    </row>
    <row r="9" spans="1:7" x14ac:dyDescent="0.35">
      <c r="A9" s="13" t="s">
        <v>12</v>
      </c>
      <c r="B9" s="15">
        <f>'Angabe Kostenermittlung'!B10</f>
        <v>155771</v>
      </c>
      <c r="C9" s="24">
        <f>'Angabe Kostenermittlung'!D37</f>
        <v>650</v>
      </c>
      <c r="D9" s="11"/>
      <c r="E9" s="39">
        <f t="shared" si="0"/>
        <v>155121</v>
      </c>
      <c r="F9" s="27">
        <f>E9</f>
        <v>155121</v>
      </c>
      <c r="G9" s="28" t="s">
        <v>34</v>
      </c>
    </row>
    <row r="10" spans="1:7" x14ac:dyDescent="0.35">
      <c r="A10" s="13" t="s">
        <v>14</v>
      </c>
      <c r="B10" s="15">
        <f>'Angabe Kostenermittlung'!B11</f>
        <v>54389.86</v>
      </c>
      <c r="C10" s="25">
        <f>'Angabe Kostenermittlung'!D38</f>
        <v>240</v>
      </c>
      <c r="D10" s="11"/>
      <c r="E10" s="39">
        <f t="shared" si="0"/>
        <v>54149.86</v>
      </c>
      <c r="F10" s="27">
        <f>E10</f>
        <v>54149.86</v>
      </c>
      <c r="G10" s="28" t="s">
        <v>34</v>
      </c>
    </row>
    <row r="11" spans="1:7" x14ac:dyDescent="0.35">
      <c r="A11" s="13" t="s">
        <v>16</v>
      </c>
      <c r="B11" s="15">
        <f>'Angabe Kostenermittlung'!B12</f>
        <v>80289.86</v>
      </c>
      <c r="C11" s="15">
        <f>'Angabe Kostenermittlung'!D39</f>
        <v>480</v>
      </c>
      <c r="D11" s="11"/>
      <c r="E11" s="39">
        <f t="shared" si="0"/>
        <v>79809.86</v>
      </c>
      <c r="F11" s="27">
        <f>E11</f>
        <v>79809.86</v>
      </c>
      <c r="G11" s="28" t="s">
        <v>34</v>
      </c>
    </row>
    <row r="12" spans="1:7" x14ac:dyDescent="0.35">
      <c r="A12" s="13" t="s">
        <v>36</v>
      </c>
      <c r="B12" s="15">
        <f>'Angabe Kostenermittlung'!B13</f>
        <v>35000</v>
      </c>
      <c r="C12" s="11"/>
      <c r="D12" s="11"/>
      <c r="E12" s="39">
        <f t="shared" si="0"/>
        <v>35000</v>
      </c>
      <c r="F12" s="11"/>
      <c r="G12" s="28">
        <f t="shared" si="1"/>
        <v>35000</v>
      </c>
    </row>
    <row r="13" spans="1:7" x14ac:dyDescent="0.35">
      <c r="A13" s="13" t="s">
        <v>17</v>
      </c>
      <c r="B13" s="15">
        <f>'Angabe Kostenermittlung'!B14</f>
        <v>72900.961279999989</v>
      </c>
      <c r="C13" s="11"/>
      <c r="D13" s="11"/>
      <c r="E13" s="39">
        <f t="shared" si="0"/>
        <v>72900.961279999989</v>
      </c>
      <c r="F13" s="11"/>
      <c r="G13" s="28">
        <f t="shared" si="1"/>
        <v>72900.961279999989</v>
      </c>
    </row>
    <row r="14" spans="1:7" x14ac:dyDescent="0.35">
      <c r="A14" s="13" t="s">
        <v>18</v>
      </c>
      <c r="B14" s="15">
        <f>'Angabe Kostenermittlung'!B15</f>
        <v>14319.831680000001</v>
      </c>
      <c r="C14" s="11"/>
      <c r="D14" s="11"/>
      <c r="E14" s="39">
        <f t="shared" si="0"/>
        <v>14319.831680000001</v>
      </c>
      <c r="F14" s="11"/>
      <c r="G14" s="28">
        <f t="shared" si="1"/>
        <v>14319.831680000001</v>
      </c>
    </row>
    <row r="15" spans="1:7" x14ac:dyDescent="0.35">
      <c r="A15" s="13" t="s">
        <v>19</v>
      </c>
      <c r="B15" s="15">
        <f>'Angabe Kostenermittlung'!B16</f>
        <v>9763.5215999999982</v>
      </c>
      <c r="C15" s="11"/>
      <c r="D15" s="11"/>
      <c r="E15" s="39">
        <f t="shared" si="0"/>
        <v>9763.5215999999982</v>
      </c>
      <c r="F15" s="11"/>
      <c r="G15" s="28">
        <f t="shared" si="1"/>
        <v>9763.5215999999982</v>
      </c>
    </row>
    <row r="16" spans="1:7" x14ac:dyDescent="0.35">
      <c r="A16" s="13" t="s">
        <v>20</v>
      </c>
      <c r="B16" s="15">
        <f>'Angabe Kostenermittlung'!B17</f>
        <v>34580</v>
      </c>
      <c r="C16" s="25">
        <f>E44</f>
        <v>34580</v>
      </c>
      <c r="D16" s="11"/>
      <c r="E16" s="39">
        <f t="shared" si="0"/>
        <v>0</v>
      </c>
      <c r="F16" s="11"/>
      <c r="G16" s="28">
        <f t="shared" si="1"/>
        <v>0</v>
      </c>
    </row>
    <row r="17" spans="1:7" x14ac:dyDescent="0.35">
      <c r="A17" s="13" t="s">
        <v>21</v>
      </c>
      <c r="B17" s="15">
        <f>'Angabe Kostenermittlung'!B18</f>
        <v>16580</v>
      </c>
      <c r="C17" s="11"/>
      <c r="D17" s="11"/>
      <c r="E17" s="39">
        <f t="shared" si="0"/>
        <v>16580</v>
      </c>
      <c r="F17" s="11"/>
      <c r="G17" s="28">
        <f t="shared" si="1"/>
        <v>16580</v>
      </c>
    </row>
    <row r="18" spans="1:7" x14ac:dyDescent="0.35">
      <c r="A18" s="13" t="s">
        <v>22</v>
      </c>
      <c r="B18" s="15">
        <f>'Angabe Kostenermittlung'!B19</f>
        <v>8350</v>
      </c>
      <c r="C18" s="11"/>
      <c r="D18" s="11"/>
      <c r="E18" s="39">
        <f t="shared" si="0"/>
        <v>8350</v>
      </c>
      <c r="F18" s="11"/>
      <c r="G18" s="28">
        <f t="shared" si="1"/>
        <v>8350</v>
      </c>
    </row>
    <row r="19" spans="1:7" x14ac:dyDescent="0.35">
      <c r="A19" s="13" t="s">
        <v>23</v>
      </c>
      <c r="B19" s="15">
        <f>'Angabe Kostenermittlung'!B20</f>
        <v>81000</v>
      </c>
      <c r="C19" s="11"/>
      <c r="D19" s="11"/>
      <c r="E19" s="39">
        <f t="shared" si="0"/>
        <v>81000</v>
      </c>
      <c r="F19" s="11"/>
      <c r="G19" s="28">
        <f t="shared" si="1"/>
        <v>81000</v>
      </c>
    </row>
    <row r="20" spans="1:7" x14ac:dyDescent="0.35">
      <c r="A20" s="13" t="s">
        <v>24</v>
      </c>
      <c r="B20" s="15">
        <f>'Angabe Kostenermittlung'!B21</f>
        <v>5860</v>
      </c>
      <c r="C20" s="11"/>
      <c r="D20" s="11"/>
      <c r="E20" s="39">
        <f t="shared" si="0"/>
        <v>5860</v>
      </c>
      <c r="F20" s="11"/>
      <c r="G20" s="28">
        <f t="shared" si="1"/>
        <v>5860</v>
      </c>
    </row>
    <row r="21" spans="1:7" x14ac:dyDescent="0.35">
      <c r="A21" s="13" t="s">
        <v>25</v>
      </c>
      <c r="B21" s="15">
        <f>'Angabe Kostenermittlung'!B22</f>
        <v>1956</v>
      </c>
      <c r="C21" s="11"/>
      <c r="D21" s="11"/>
      <c r="E21" s="39">
        <f t="shared" si="0"/>
        <v>1956</v>
      </c>
      <c r="F21" s="11"/>
      <c r="G21" s="28">
        <f t="shared" si="1"/>
        <v>1956</v>
      </c>
    </row>
    <row r="22" spans="1:7" x14ac:dyDescent="0.35">
      <c r="A22" s="13" t="s">
        <v>47</v>
      </c>
      <c r="B22" s="15">
        <f>'Angabe Kostenermittlung'!B23</f>
        <v>12690</v>
      </c>
      <c r="C22" s="11"/>
      <c r="D22" s="11"/>
      <c r="E22" s="39">
        <f t="shared" si="0"/>
        <v>12690</v>
      </c>
      <c r="F22" s="11"/>
      <c r="G22" s="28">
        <f t="shared" si="1"/>
        <v>12690</v>
      </c>
    </row>
    <row r="23" spans="1:7" x14ac:dyDescent="0.35">
      <c r="A23" s="13" t="s">
        <v>48</v>
      </c>
      <c r="B23" s="15">
        <f>'Angabe Kostenermittlung'!B24</f>
        <v>4920</v>
      </c>
      <c r="C23" s="11"/>
      <c r="D23" s="11"/>
      <c r="E23" s="39">
        <f t="shared" si="0"/>
        <v>4920</v>
      </c>
      <c r="F23" s="11"/>
      <c r="G23" s="28">
        <f t="shared" si="1"/>
        <v>4920</v>
      </c>
    </row>
    <row r="24" spans="1:7" x14ac:dyDescent="0.35">
      <c r="A24" s="13" t="s">
        <v>26</v>
      </c>
      <c r="B24" s="15">
        <f>'Angabe Kostenermittlung'!B25</f>
        <v>5480</v>
      </c>
      <c r="C24" s="11"/>
      <c r="D24" s="11"/>
      <c r="E24" s="39">
        <f t="shared" si="0"/>
        <v>5480</v>
      </c>
      <c r="F24" s="11"/>
      <c r="G24" s="28">
        <f t="shared" si="1"/>
        <v>5480</v>
      </c>
    </row>
    <row r="25" spans="1:7" x14ac:dyDescent="0.35">
      <c r="A25" s="13" t="s">
        <v>27</v>
      </c>
      <c r="B25" s="15">
        <f>'Angabe Kostenermittlung'!B26</f>
        <v>9680</v>
      </c>
      <c r="C25" s="11"/>
      <c r="D25" s="11"/>
      <c r="E25" s="39">
        <f t="shared" si="0"/>
        <v>9680</v>
      </c>
      <c r="F25" s="11"/>
      <c r="G25" s="28">
        <f t="shared" si="1"/>
        <v>9680</v>
      </c>
    </row>
    <row r="26" spans="1:7" x14ac:dyDescent="0.35">
      <c r="A26" s="13" t="s">
        <v>28</v>
      </c>
      <c r="B26" s="15">
        <f>'Angabe Kostenermittlung'!B27</f>
        <v>7140</v>
      </c>
      <c r="C26" s="11"/>
      <c r="D26" s="11"/>
      <c r="E26" s="39">
        <f t="shared" si="0"/>
        <v>7140</v>
      </c>
      <c r="F26" s="11"/>
      <c r="G26" s="28">
        <f t="shared" si="1"/>
        <v>7140</v>
      </c>
    </row>
    <row r="27" spans="1:7" x14ac:dyDescent="0.35">
      <c r="A27" s="13" t="s">
        <v>30</v>
      </c>
      <c r="B27" s="15">
        <f>'Angabe Kostenermittlung'!B28</f>
        <v>9520</v>
      </c>
      <c r="C27" s="25">
        <f>E45</f>
        <v>9520</v>
      </c>
      <c r="D27" s="11"/>
      <c r="E27" s="39">
        <f t="shared" si="0"/>
        <v>0</v>
      </c>
      <c r="F27" s="11"/>
      <c r="G27" s="28" t="s">
        <v>34</v>
      </c>
    </row>
    <row r="28" spans="1:7" x14ac:dyDescent="0.35">
      <c r="A28" s="13" t="s">
        <v>31</v>
      </c>
      <c r="B28" s="15">
        <f>'Angabe Kostenermittlung'!B29</f>
        <v>1890</v>
      </c>
      <c r="C28" s="25">
        <f>E46</f>
        <v>1890</v>
      </c>
      <c r="D28" s="11"/>
      <c r="E28" s="39">
        <f t="shared" si="0"/>
        <v>0</v>
      </c>
      <c r="F28" s="11"/>
      <c r="G28" s="28" t="s">
        <v>34</v>
      </c>
    </row>
    <row r="29" spans="1:7" x14ac:dyDescent="0.35">
      <c r="A29" s="13" t="s">
        <v>29</v>
      </c>
      <c r="B29" s="15">
        <f>'Angabe Kostenermittlung'!B30</f>
        <v>3750</v>
      </c>
      <c r="C29" s="15">
        <f>B29</f>
        <v>3750</v>
      </c>
      <c r="D29" s="11"/>
      <c r="E29" s="39">
        <f t="shared" si="0"/>
        <v>0</v>
      </c>
      <c r="F29" s="11"/>
      <c r="G29" s="28" t="s">
        <v>34</v>
      </c>
    </row>
    <row r="30" spans="1:7" x14ac:dyDescent="0.35">
      <c r="A30" s="13" t="s">
        <v>32</v>
      </c>
      <c r="B30" s="15">
        <f>'Angabe Kostenermittlung'!B31</f>
        <v>2890</v>
      </c>
      <c r="C30" s="11"/>
      <c r="D30" s="11"/>
      <c r="E30" s="39">
        <f t="shared" si="0"/>
        <v>2890</v>
      </c>
      <c r="F30" s="11"/>
      <c r="G30" s="28">
        <f t="shared" si="1"/>
        <v>2890</v>
      </c>
    </row>
    <row r="31" spans="1:7" x14ac:dyDescent="0.35">
      <c r="A31" s="13" t="s">
        <v>33</v>
      </c>
      <c r="B31" s="15">
        <f>'Angabe Kostenermittlung'!B32</f>
        <v>105718.11944000004</v>
      </c>
      <c r="C31" s="25">
        <f>E47</f>
        <v>105718.11944000004</v>
      </c>
      <c r="D31" s="11"/>
      <c r="E31" s="39">
        <f t="shared" si="0"/>
        <v>0</v>
      </c>
      <c r="F31" s="11"/>
      <c r="G31" s="28" t="s">
        <v>34</v>
      </c>
    </row>
    <row r="32" spans="1:7" x14ac:dyDescent="0.35">
      <c r="A32" s="13" t="s">
        <v>51</v>
      </c>
      <c r="B32" s="15"/>
      <c r="C32" s="25"/>
      <c r="D32" s="25">
        <f>'Angabe Kostenermittlung'!D46</f>
        <v>47320</v>
      </c>
      <c r="E32" s="39">
        <f t="shared" si="0"/>
        <v>47320</v>
      </c>
      <c r="F32" s="11"/>
      <c r="G32" s="28">
        <f t="shared" si="1"/>
        <v>47320</v>
      </c>
    </row>
    <row r="33" spans="1:7" x14ac:dyDescent="0.35">
      <c r="A33" s="13" t="s">
        <v>58</v>
      </c>
      <c r="B33" s="15"/>
      <c r="C33" s="25"/>
      <c r="D33" s="24">
        <f>B29+'Angabe Kostenermittlung'!D47</f>
        <v>5125</v>
      </c>
      <c r="E33" s="39">
        <f t="shared" si="0"/>
        <v>5125</v>
      </c>
      <c r="F33" s="11"/>
      <c r="G33" s="28">
        <f t="shared" si="1"/>
        <v>5125</v>
      </c>
    </row>
    <row r="34" spans="1:7" x14ac:dyDescent="0.35">
      <c r="A34" s="13" t="s">
        <v>53</v>
      </c>
      <c r="B34" s="15"/>
      <c r="C34" s="25"/>
      <c r="D34" s="25">
        <f>'Angabe Kostenermittlung'!D48</f>
        <v>45600</v>
      </c>
      <c r="E34" s="39">
        <f t="shared" si="0"/>
        <v>45600</v>
      </c>
      <c r="F34" s="11"/>
      <c r="G34" s="28">
        <f t="shared" si="1"/>
        <v>45600</v>
      </c>
    </row>
    <row r="35" spans="1:7" x14ac:dyDescent="0.35">
      <c r="A35" s="13" t="s">
        <v>54</v>
      </c>
      <c r="B35" s="15"/>
      <c r="C35" s="25"/>
      <c r="D35" s="25">
        <f>'Angabe Kostenermittlung'!D49</f>
        <v>8500</v>
      </c>
      <c r="E35" s="39">
        <f t="shared" si="0"/>
        <v>8500</v>
      </c>
      <c r="F35" s="11"/>
      <c r="G35" s="28">
        <f t="shared" si="1"/>
        <v>8500</v>
      </c>
    </row>
    <row r="36" spans="1:7" x14ac:dyDescent="0.35">
      <c r="A36" s="11"/>
      <c r="B36" s="36">
        <f>'Angabe Kostenermittlung'!B33</f>
        <v>860449.15399999986</v>
      </c>
      <c r="C36" s="10">
        <f>SUM(C5:C31)</f>
        <v>156828.11944000004</v>
      </c>
      <c r="D36" s="37">
        <f>SUM(D32:D35)</f>
        <v>106545</v>
      </c>
      <c r="E36" s="40">
        <f>SUM(E4:E35)</f>
        <v>810166.03455999994</v>
      </c>
      <c r="F36" s="10">
        <f>SUM(F4:F34)</f>
        <v>322750.71999999997</v>
      </c>
      <c r="G36" s="36">
        <f>SUM(G4:G35)</f>
        <v>487415.31455999997</v>
      </c>
    </row>
    <row r="37" spans="1:7" x14ac:dyDescent="0.35">
      <c r="E37" s="26">
        <f>B36-C36+D36-E36</f>
        <v>0</v>
      </c>
      <c r="G37" s="26">
        <f>E36-F36-G36</f>
        <v>0</v>
      </c>
    </row>
    <row r="39" spans="1:7" ht="15.5" x14ac:dyDescent="0.35">
      <c r="A39" s="42" t="s">
        <v>42</v>
      </c>
    </row>
    <row r="40" spans="1:7" x14ac:dyDescent="0.35">
      <c r="A40" s="20" t="s">
        <v>38</v>
      </c>
      <c r="B40" s="22"/>
      <c r="C40" s="22"/>
      <c r="D40" s="22"/>
    </row>
    <row r="41" spans="1:7" x14ac:dyDescent="0.35">
      <c r="A41" s="19" t="s">
        <v>43</v>
      </c>
      <c r="B41" s="22" t="s">
        <v>34</v>
      </c>
      <c r="C41" s="22"/>
      <c r="E41" s="23">
        <f>'Angabe Kostenermittlung'!D37</f>
        <v>650</v>
      </c>
    </row>
    <row r="42" spans="1:7" x14ac:dyDescent="0.35">
      <c r="A42" s="19" t="s">
        <v>57</v>
      </c>
      <c r="B42" s="22" t="s">
        <v>34</v>
      </c>
      <c r="C42" s="22"/>
      <c r="E42" s="23">
        <f>'Angabe Kostenermittlung'!D38</f>
        <v>240</v>
      </c>
    </row>
    <row r="43" spans="1:7" x14ac:dyDescent="0.35">
      <c r="A43" s="19" t="s">
        <v>157</v>
      </c>
      <c r="B43" s="22"/>
      <c r="C43" s="22"/>
      <c r="E43" s="23">
        <f>'Angabe Kostenermittlung'!D39</f>
        <v>480</v>
      </c>
    </row>
    <row r="44" spans="1:7" x14ac:dyDescent="0.35">
      <c r="A44" s="22" t="s">
        <v>46</v>
      </c>
      <c r="B44" s="22"/>
      <c r="C44" s="22"/>
      <c r="E44" s="23">
        <f>'Angabe Kostenermittlung'!B17</f>
        <v>34580</v>
      </c>
    </row>
    <row r="45" spans="1:7" x14ac:dyDescent="0.35">
      <c r="A45" s="22" t="s">
        <v>30</v>
      </c>
      <c r="B45" s="22"/>
      <c r="C45" s="22"/>
      <c r="E45" s="23">
        <f>'Angabe Kostenermittlung'!B28</f>
        <v>9520</v>
      </c>
    </row>
    <row r="46" spans="1:7" x14ac:dyDescent="0.35">
      <c r="A46" s="22" t="s">
        <v>31</v>
      </c>
      <c r="B46" s="22"/>
      <c r="C46" s="22"/>
      <c r="E46" s="23">
        <f>'Angabe Kostenermittlung'!D42</f>
        <v>1890</v>
      </c>
    </row>
    <row r="47" spans="1:7" x14ac:dyDescent="0.35">
      <c r="A47" s="22" t="s">
        <v>49</v>
      </c>
      <c r="B47" s="22"/>
      <c r="C47" s="22"/>
      <c r="E47" s="23">
        <f>'Angabe Kostenermittlung'!D43</f>
        <v>105718.11944000004</v>
      </c>
    </row>
    <row r="48" spans="1:7" x14ac:dyDescent="0.35">
      <c r="E48" s="23" t="s">
        <v>34</v>
      </c>
    </row>
    <row r="49" spans="1:5" x14ac:dyDescent="0.35">
      <c r="A49" s="21" t="s">
        <v>50</v>
      </c>
      <c r="E49" s="23" t="s">
        <v>34</v>
      </c>
    </row>
    <row r="50" spans="1:5" x14ac:dyDescent="0.35">
      <c r="A50" t="s">
        <v>51</v>
      </c>
      <c r="B50" s="8" t="s">
        <v>228</v>
      </c>
      <c r="C50" s="8"/>
      <c r="E50" s="23">
        <f>'Angabe Kostenermittlung'!D46</f>
        <v>47320</v>
      </c>
    </row>
    <row r="51" spans="1:5" x14ac:dyDescent="0.35">
      <c r="A51" t="s">
        <v>52</v>
      </c>
      <c r="B51" s="8" t="s">
        <v>251</v>
      </c>
      <c r="C51" s="8"/>
      <c r="E51" s="23">
        <f>'Angabe Kostenermittlung'!D47</f>
        <v>1375</v>
      </c>
    </row>
    <row r="52" spans="1:5" x14ac:dyDescent="0.35">
      <c r="A52" t="s">
        <v>53</v>
      </c>
      <c r="B52" s="8" t="s">
        <v>55</v>
      </c>
      <c r="C52" s="8"/>
      <c r="E52" s="23">
        <f>'Angabe Kostenermittlung'!D48</f>
        <v>45600</v>
      </c>
    </row>
    <row r="53" spans="1:5" x14ac:dyDescent="0.35">
      <c r="A53" t="s">
        <v>54</v>
      </c>
      <c r="B53" s="8" t="s">
        <v>56</v>
      </c>
      <c r="C53" s="8"/>
      <c r="E53" s="23">
        <f>'Angabe Kostenermittlung'!D49</f>
        <v>8500</v>
      </c>
    </row>
    <row r="57" spans="1:5" ht="15.5" x14ac:dyDescent="0.35">
      <c r="A57" s="6" t="s">
        <v>59</v>
      </c>
    </row>
    <row r="58" spans="1:5" x14ac:dyDescent="0.35">
      <c r="A58" s="31" t="s">
        <v>64</v>
      </c>
      <c r="B58" s="32"/>
      <c r="C58" s="32"/>
      <c r="D58" s="33">
        <f>'Angabe Kostenermittlung'!D33</f>
        <v>860449.15399999986</v>
      </c>
    </row>
    <row r="59" spans="1:5" x14ac:dyDescent="0.35">
      <c r="A59" s="153" t="s">
        <v>60</v>
      </c>
      <c r="B59" s="22"/>
      <c r="C59" s="22"/>
      <c r="D59" s="35"/>
    </row>
    <row r="60" spans="1:5" x14ac:dyDescent="0.35">
      <c r="A60" s="34" t="s">
        <v>15</v>
      </c>
      <c r="B60" s="22"/>
      <c r="C60" s="22"/>
      <c r="D60" s="35">
        <f>'Angabe Kostenermittlung'!D10</f>
        <v>1290</v>
      </c>
    </row>
    <row r="61" spans="1:5" x14ac:dyDescent="0.35">
      <c r="A61" s="34" t="s">
        <v>61</v>
      </c>
      <c r="B61" s="22"/>
      <c r="C61" s="22"/>
      <c r="D61" s="35">
        <f>D58-D60</f>
        <v>859159.15399999986</v>
      </c>
    </row>
    <row r="62" spans="1:5" ht="15" thickBot="1" x14ac:dyDescent="0.4">
      <c r="A62" s="34" t="s">
        <v>62</v>
      </c>
      <c r="B62" s="22"/>
      <c r="C62" s="22"/>
      <c r="D62" s="35">
        <f>E36</f>
        <v>810166.03455999994</v>
      </c>
    </row>
    <row r="63" spans="1:5" ht="15" thickBot="1" x14ac:dyDescent="0.4">
      <c r="A63" s="78" t="s">
        <v>63</v>
      </c>
      <c r="B63" s="79" t="s">
        <v>229</v>
      </c>
      <c r="C63" s="80"/>
      <c r="D63" s="81">
        <f>D61-D62</f>
        <v>48993.119439999922</v>
      </c>
    </row>
    <row r="64" spans="1:5" x14ac:dyDescent="0.35">
      <c r="A64" s="8"/>
    </row>
    <row r="65" spans="1:1" x14ac:dyDescent="0.35">
      <c r="A65" s="8"/>
    </row>
    <row r="66" spans="1:1" x14ac:dyDescent="0.35">
      <c r="A66" s="8"/>
    </row>
    <row r="67" spans="1:1" x14ac:dyDescent="0.35">
      <c r="A67" s="8"/>
    </row>
    <row r="68" spans="1:1" x14ac:dyDescent="0.35">
      <c r="A68" s="8"/>
    </row>
    <row r="69" spans="1:1" x14ac:dyDescent="0.35">
      <c r="A69" s="8"/>
    </row>
    <row r="70" spans="1:1" x14ac:dyDescent="0.35">
      <c r="A70" s="8"/>
    </row>
    <row r="71" spans="1:1" x14ac:dyDescent="0.35">
      <c r="A71" s="8"/>
    </row>
    <row r="72" spans="1:1" x14ac:dyDescent="0.35">
      <c r="A72" s="8"/>
    </row>
  </sheetData>
  <pageMargins left="0.7" right="0.7" top="0.78740157499999996" bottom="0.78740157499999996" header="0.3" footer="0.3"/>
  <pageSetup paperSize="9" scale="78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8"/>
  <sheetViews>
    <sheetView topLeftCell="A43" workbookViewId="0">
      <selection activeCell="F43" sqref="F43"/>
    </sheetView>
  </sheetViews>
  <sheetFormatPr baseColWidth="10" defaultRowHeight="14.5" x14ac:dyDescent="0.35"/>
  <cols>
    <col min="1" max="1" width="31.26953125" customWidth="1"/>
    <col min="2" max="2" width="15.7265625" customWidth="1"/>
    <col min="3" max="3" width="11" customWidth="1"/>
    <col min="4" max="4" width="12" customWidth="1"/>
    <col min="5" max="5" width="16" customWidth="1"/>
    <col min="6" max="6" width="12.81640625" bestFit="1" customWidth="1"/>
    <col min="7" max="10" width="11.81640625" bestFit="1" customWidth="1"/>
    <col min="12" max="12" width="11.81640625" customWidth="1"/>
  </cols>
  <sheetData>
    <row r="1" spans="1:13" ht="21" x14ac:dyDescent="0.5">
      <c r="A1" s="4" t="s">
        <v>68</v>
      </c>
    </row>
    <row r="4" spans="1:13" s="18" customFormat="1" ht="29" x14ac:dyDescent="0.35">
      <c r="A4" s="16" t="s">
        <v>2</v>
      </c>
      <c r="B4" s="38" t="s">
        <v>41</v>
      </c>
      <c r="C4" s="17" t="s">
        <v>75</v>
      </c>
      <c r="D4" s="17" t="s">
        <v>74</v>
      </c>
      <c r="E4" s="17" t="s">
        <v>79</v>
      </c>
      <c r="F4" s="17" t="s">
        <v>72</v>
      </c>
      <c r="G4" s="17" t="s">
        <v>73</v>
      </c>
      <c r="H4" s="17" t="s">
        <v>70</v>
      </c>
      <c r="I4" s="17" t="s">
        <v>71</v>
      </c>
      <c r="J4" s="17" t="s">
        <v>252</v>
      </c>
      <c r="K4" s="18" t="s">
        <v>187</v>
      </c>
      <c r="L4" s="111" t="s">
        <v>188</v>
      </c>
    </row>
    <row r="5" spans="1:13" x14ac:dyDescent="0.35">
      <c r="A5" s="13" t="s">
        <v>5</v>
      </c>
      <c r="B5" s="107">
        <f>Kostenrechnung!E4</f>
        <v>12940</v>
      </c>
      <c r="C5" s="11" t="s">
        <v>34</v>
      </c>
      <c r="D5" s="110">
        <f>Kostenrechnung!G4</f>
        <v>12940</v>
      </c>
      <c r="E5" s="108" t="s">
        <v>197</v>
      </c>
      <c r="F5" s="45">
        <f>K5*55</f>
        <v>7117</v>
      </c>
      <c r="G5" s="45">
        <f>K5*10</f>
        <v>1294</v>
      </c>
      <c r="H5" s="45">
        <f>K5*20</f>
        <v>2588</v>
      </c>
      <c r="I5" s="45">
        <f>K5*15</f>
        <v>1941</v>
      </c>
      <c r="J5" s="45"/>
      <c r="K5" s="44">
        <f>D5/100</f>
        <v>129.4</v>
      </c>
      <c r="M5" s="26">
        <f>B5-F5-G5-H5-I5-J5</f>
        <v>0</v>
      </c>
    </row>
    <row r="6" spans="1:13" x14ac:dyDescent="0.35">
      <c r="A6" s="13" t="s">
        <v>35</v>
      </c>
      <c r="B6" s="107">
        <f>Kostenrechnung!E5</f>
        <v>33670</v>
      </c>
      <c r="C6" s="74">
        <f>B6</f>
        <v>33670</v>
      </c>
      <c r="D6" s="110" t="s">
        <v>34</v>
      </c>
      <c r="E6" s="108" t="s">
        <v>34</v>
      </c>
      <c r="F6" s="45"/>
      <c r="G6" s="45"/>
      <c r="H6" s="45"/>
      <c r="I6" s="45"/>
      <c r="J6" s="45"/>
      <c r="K6" s="44" t="s">
        <v>34</v>
      </c>
      <c r="L6" s="46">
        <f>'Angabe Kostenermittlung'!D59</f>
        <v>6.466264107336743E-2</v>
      </c>
      <c r="M6" s="26" t="s">
        <v>34</v>
      </c>
    </row>
    <row r="7" spans="1:13" x14ac:dyDescent="0.35">
      <c r="A7" s="13" t="s">
        <v>6</v>
      </c>
      <c r="B7" s="107">
        <f>Kostenrechnung!E6</f>
        <v>24970</v>
      </c>
      <c r="C7" s="11" t="s">
        <v>34</v>
      </c>
      <c r="D7" s="110">
        <f>Kostenrechnung!G6</f>
        <v>24970</v>
      </c>
      <c r="E7" s="108" t="s">
        <v>198</v>
      </c>
      <c r="F7" s="45">
        <f>K7*70</f>
        <v>17479</v>
      </c>
      <c r="G7" s="45">
        <f>K7*12</f>
        <v>2996.3999999999996</v>
      </c>
      <c r="H7" s="45">
        <f>K7*8</f>
        <v>1997.6</v>
      </c>
      <c r="I7" s="45">
        <f>K7*8</f>
        <v>1997.6</v>
      </c>
      <c r="J7" s="45">
        <f>K7*2</f>
        <v>499.4</v>
      </c>
      <c r="K7" s="44">
        <f t="shared" ref="K7:K31" si="0">D7/100</f>
        <v>249.7</v>
      </c>
      <c r="M7" s="26">
        <f t="shared" ref="M7:M31" si="1">B7-F7-G7-H7-I7-J7</f>
        <v>5.6843418860808015E-13</v>
      </c>
    </row>
    <row r="8" spans="1:13" x14ac:dyDescent="0.35">
      <c r="A8" s="13" t="s">
        <v>9</v>
      </c>
      <c r="B8" s="107">
        <f>Kostenrechnung!E7</f>
        <v>29750</v>
      </c>
      <c r="C8" s="11" t="s">
        <v>34</v>
      </c>
      <c r="D8" s="110">
        <f>Kostenrechnung!G7</f>
        <v>29750</v>
      </c>
      <c r="E8" s="108" t="s">
        <v>199</v>
      </c>
      <c r="F8" s="45">
        <f>K8*70</f>
        <v>20825</v>
      </c>
      <c r="G8" s="45">
        <f>K8*15</f>
        <v>4462.5</v>
      </c>
      <c r="H8" s="45">
        <f>K8*8</f>
        <v>2380</v>
      </c>
      <c r="I8" s="45">
        <f>K8*7</f>
        <v>2082.5</v>
      </c>
      <c r="J8" s="45"/>
      <c r="K8" s="44">
        <f t="shared" si="0"/>
        <v>297.5</v>
      </c>
      <c r="M8" s="26">
        <f t="shared" si="1"/>
        <v>0</v>
      </c>
    </row>
    <row r="9" spans="1:13" x14ac:dyDescent="0.35">
      <c r="A9" s="13" t="s">
        <v>11</v>
      </c>
      <c r="B9" s="107">
        <f>Kostenrechnung!E8</f>
        <v>24680</v>
      </c>
      <c r="C9" s="11" t="s">
        <v>34</v>
      </c>
      <c r="D9" s="110">
        <f>Kostenrechnung!G8</f>
        <v>24680</v>
      </c>
      <c r="E9" s="108" t="s">
        <v>85</v>
      </c>
      <c r="F9" s="45">
        <f>K9*50</f>
        <v>12340</v>
      </c>
      <c r="G9" s="45">
        <f>K9*17</f>
        <v>4195.6000000000004</v>
      </c>
      <c r="H9" s="45">
        <f>K9*16</f>
        <v>3948.8</v>
      </c>
      <c r="I9" s="45">
        <f>K9*17</f>
        <v>4195.6000000000004</v>
      </c>
      <c r="J9" s="45"/>
      <c r="K9" s="44">
        <f t="shared" si="0"/>
        <v>246.8</v>
      </c>
      <c r="M9" s="26">
        <f t="shared" si="1"/>
        <v>-9.0949470177292824E-13</v>
      </c>
    </row>
    <row r="10" spans="1:13" x14ac:dyDescent="0.35">
      <c r="A10" s="13" t="s">
        <v>12</v>
      </c>
      <c r="B10" s="107">
        <f>Kostenrechnung!E9</f>
        <v>155121</v>
      </c>
      <c r="C10" s="11">
        <f>Kostenrechnung!F9</f>
        <v>155121</v>
      </c>
      <c r="D10" s="110" t="str">
        <f>Kostenrechnung!G9</f>
        <v xml:space="preserve"> </v>
      </c>
      <c r="E10" s="109"/>
      <c r="F10" s="45"/>
      <c r="G10" s="45"/>
      <c r="H10" s="45"/>
      <c r="I10" s="45"/>
      <c r="J10" s="45"/>
      <c r="K10" s="44" t="s">
        <v>34</v>
      </c>
      <c r="L10" s="46">
        <f>'Angabe Kostenermittlung'!E55+'Angabe Kostenermittlung'!E56</f>
        <v>0.52143702818535065</v>
      </c>
      <c r="M10" s="26" t="s">
        <v>34</v>
      </c>
    </row>
    <row r="11" spans="1:13" x14ac:dyDescent="0.35">
      <c r="A11" s="13" t="s">
        <v>14</v>
      </c>
      <c r="B11" s="107">
        <f>Kostenrechnung!E10</f>
        <v>54149.86</v>
      </c>
      <c r="C11" s="11">
        <f>Kostenrechnung!F10</f>
        <v>54149.86</v>
      </c>
      <c r="D11" s="110" t="str">
        <f>Kostenrechnung!G10</f>
        <v xml:space="preserve"> </v>
      </c>
      <c r="E11" s="108"/>
      <c r="F11" s="45"/>
      <c r="G11" s="45"/>
      <c r="H11" s="45"/>
      <c r="I11" s="45"/>
      <c r="J11" s="45"/>
      <c r="K11" s="44" t="s">
        <v>34</v>
      </c>
      <c r="L11" s="46">
        <f>'Angabe Kostenermittlung'!E57</f>
        <v>0.17092598189322211</v>
      </c>
      <c r="M11" s="26" t="s">
        <v>34</v>
      </c>
    </row>
    <row r="12" spans="1:13" x14ac:dyDescent="0.35">
      <c r="A12" s="13" t="s">
        <v>16</v>
      </c>
      <c r="B12" s="107">
        <f>Kostenrechnung!E11</f>
        <v>79809.86</v>
      </c>
      <c r="C12" s="11">
        <f>Kostenrechnung!F11</f>
        <v>79809.86</v>
      </c>
      <c r="D12" s="110" t="str">
        <f>Kostenrechnung!G11</f>
        <v xml:space="preserve"> </v>
      </c>
      <c r="E12" s="108"/>
      <c r="F12" s="45"/>
      <c r="G12" s="45"/>
      <c r="H12" s="45"/>
      <c r="I12" s="45"/>
      <c r="J12" s="45"/>
      <c r="K12" s="44" t="s">
        <v>34</v>
      </c>
      <c r="L12" s="46">
        <f>'Angabe Kostenermittlung'!E58</f>
        <v>0.24297434884805991</v>
      </c>
      <c r="M12" s="26" t="s">
        <v>34</v>
      </c>
    </row>
    <row r="13" spans="1:13" x14ac:dyDescent="0.35">
      <c r="A13" s="13" t="s">
        <v>36</v>
      </c>
      <c r="B13" s="107">
        <f>Kostenrechnung!E12</f>
        <v>35000</v>
      </c>
      <c r="C13" s="11" t="s">
        <v>34</v>
      </c>
      <c r="D13" s="110">
        <f>Kostenrechnung!G12</f>
        <v>35000</v>
      </c>
      <c r="E13" s="108" t="s">
        <v>253</v>
      </c>
      <c r="F13" s="45">
        <f>K13*40</f>
        <v>14000</v>
      </c>
      <c r="G13" s="45">
        <f>K13*11</f>
        <v>3850</v>
      </c>
      <c r="H13" s="45">
        <f>K13*20</f>
        <v>7000</v>
      </c>
      <c r="I13" s="45">
        <f>K13*25</f>
        <v>8750</v>
      </c>
      <c r="J13" s="45">
        <f>K13*4</f>
        <v>1400</v>
      </c>
      <c r="K13" s="44">
        <f t="shared" si="0"/>
        <v>350</v>
      </c>
      <c r="M13" s="26">
        <f t="shared" si="1"/>
        <v>0</v>
      </c>
    </row>
    <row r="14" spans="1:13" x14ac:dyDescent="0.35">
      <c r="A14" s="13" t="s">
        <v>17</v>
      </c>
      <c r="B14" s="107">
        <f>Kostenrechnung!E13</f>
        <v>72900.961279999989</v>
      </c>
      <c r="C14" s="11" t="s">
        <v>34</v>
      </c>
      <c r="D14" s="110">
        <f>Kostenrechnung!G13</f>
        <v>72900.961279999989</v>
      </c>
      <c r="E14" s="108" t="s">
        <v>232</v>
      </c>
      <c r="F14" s="45">
        <f>K14*39</f>
        <v>28431.374899199996</v>
      </c>
      <c r="G14" s="45">
        <f>K14*11</f>
        <v>8019.1057407999988</v>
      </c>
      <c r="H14" s="45">
        <f>K14*22</f>
        <v>16038.211481599998</v>
      </c>
      <c r="I14" s="45">
        <f>K14*24</f>
        <v>17496.230707199997</v>
      </c>
      <c r="J14" s="45">
        <f>K14*4</f>
        <v>2916.0384511999996</v>
      </c>
      <c r="K14" s="44">
        <f t="shared" si="0"/>
        <v>729.0096127999999</v>
      </c>
      <c r="M14" s="26">
        <f t="shared" si="1"/>
        <v>0</v>
      </c>
    </row>
    <row r="15" spans="1:13" x14ac:dyDescent="0.35">
      <c r="A15" s="13" t="s">
        <v>18</v>
      </c>
      <c r="B15" s="107">
        <f>Kostenrechnung!E14</f>
        <v>14319.831680000001</v>
      </c>
      <c r="C15" s="11" t="s">
        <v>34</v>
      </c>
      <c r="D15" s="110">
        <f>Kostenrechnung!G14</f>
        <v>14319.831680000001</v>
      </c>
      <c r="E15" s="108" t="s">
        <v>232</v>
      </c>
      <c r="F15" s="45">
        <f>K15*39</f>
        <v>5584.7343552000002</v>
      </c>
      <c r="G15" s="45">
        <f>K15*11</f>
        <v>1575.1814848000001</v>
      </c>
      <c r="H15" s="45">
        <f>K15*22</f>
        <v>3150.3629696000003</v>
      </c>
      <c r="I15" s="45">
        <f>K15*24</f>
        <v>3436.7596032000001</v>
      </c>
      <c r="J15" s="45">
        <f>K15*4</f>
        <v>572.79326720000006</v>
      </c>
      <c r="K15" s="44">
        <f t="shared" si="0"/>
        <v>143.19831680000001</v>
      </c>
      <c r="M15" s="26">
        <f t="shared" si="1"/>
        <v>0</v>
      </c>
    </row>
    <row r="16" spans="1:13" x14ac:dyDescent="0.35">
      <c r="A16" s="13" t="s">
        <v>19</v>
      </c>
      <c r="B16" s="107">
        <f>Kostenrechnung!E15</f>
        <v>9763.5215999999982</v>
      </c>
      <c r="C16" s="11" t="s">
        <v>34</v>
      </c>
      <c r="D16" s="110">
        <f>Kostenrechnung!G15</f>
        <v>9763.5215999999982</v>
      </c>
      <c r="E16" s="108" t="s">
        <v>232</v>
      </c>
      <c r="F16" s="45">
        <f>K16*39</f>
        <v>3807.7734239999995</v>
      </c>
      <c r="G16" s="45">
        <f>K16*11</f>
        <v>1073.9873759999998</v>
      </c>
      <c r="H16" s="45">
        <f>K16*22</f>
        <v>2147.9747519999996</v>
      </c>
      <c r="I16" s="45">
        <f>K16*24</f>
        <v>2343.2451839999994</v>
      </c>
      <c r="J16" s="45">
        <f>K16*4</f>
        <v>390.54086399999994</v>
      </c>
      <c r="K16" s="44">
        <f t="shared" si="0"/>
        <v>97.635215999999986</v>
      </c>
      <c r="M16" s="26">
        <f t="shared" si="1"/>
        <v>0</v>
      </c>
    </row>
    <row r="17" spans="1:13" x14ac:dyDescent="0.35">
      <c r="A17" s="13" t="s">
        <v>86</v>
      </c>
      <c r="B17" s="107">
        <f>Kostenrechnung!E17</f>
        <v>16580</v>
      </c>
      <c r="C17" s="11" t="s">
        <v>34</v>
      </c>
      <c r="D17" s="110">
        <f>Kostenrechnung!G17</f>
        <v>16580</v>
      </c>
      <c r="E17" s="108" t="s">
        <v>233</v>
      </c>
      <c r="F17" s="45">
        <f>K17*59</f>
        <v>9782.2000000000007</v>
      </c>
      <c r="G17" s="45">
        <f>K17*13</f>
        <v>2155.4</v>
      </c>
      <c r="H17" s="45">
        <f>K17*15</f>
        <v>2487</v>
      </c>
      <c r="I17" s="45">
        <f>K17*12</f>
        <v>1989.6000000000001</v>
      </c>
      <c r="J17" s="45">
        <f>K17*1</f>
        <v>165.8</v>
      </c>
      <c r="K17" s="44">
        <f t="shared" si="0"/>
        <v>165.8</v>
      </c>
      <c r="M17" s="26">
        <f t="shared" si="1"/>
        <v>-5.1159076974727213E-13</v>
      </c>
    </row>
    <row r="18" spans="1:13" x14ac:dyDescent="0.35">
      <c r="A18" s="13" t="s">
        <v>22</v>
      </c>
      <c r="B18" s="107">
        <f>Kostenrechnung!E18</f>
        <v>8350</v>
      </c>
      <c r="C18" s="11" t="s">
        <v>34</v>
      </c>
      <c r="D18" s="110">
        <f>Kostenrechnung!G18</f>
        <v>8350</v>
      </c>
      <c r="E18" s="108" t="s">
        <v>194</v>
      </c>
      <c r="F18" s="45">
        <f>K18*45</f>
        <v>3757.5</v>
      </c>
      <c r="G18" s="45">
        <f>K18*11</f>
        <v>918.5</v>
      </c>
      <c r="H18" s="45">
        <f>K18*20</f>
        <v>1670</v>
      </c>
      <c r="I18" s="45">
        <f>K18*17</f>
        <v>1419.5</v>
      </c>
      <c r="J18" s="45">
        <f>K18*7</f>
        <v>584.5</v>
      </c>
      <c r="K18" s="44">
        <f t="shared" si="0"/>
        <v>83.5</v>
      </c>
      <c r="M18" s="26">
        <f t="shared" si="1"/>
        <v>0</v>
      </c>
    </row>
    <row r="19" spans="1:13" x14ac:dyDescent="0.35">
      <c r="A19" s="13" t="s">
        <v>23</v>
      </c>
      <c r="B19" s="107">
        <f>Kostenrechnung!E19</f>
        <v>81000</v>
      </c>
      <c r="C19" s="11" t="s">
        <v>34</v>
      </c>
      <c r="D19" s="110">
        <f>Kostenrechnung!G19</f>
        <v>81000</v>
      </c>
      <c r="E19" s="108" t="s">
        <v>254</v>
      </c>
      <c r="F19" s="45">
        <f>K19*48</f>
        <v>38880</v>
      </c>
      <c r="G19" s="45">
        <f>K19*14</f>
        <v>11340</v>
      </c>
      <c r="H19" s="45">
        <f>K19*18</f>
        <v>14580</v>
      </c>
      <c r="I19" s="45">
        <f>K19*16</f>
        <v>12960</v>
      </c>
      <c r="J19" s="45">
        <f>K19*4</f>
        <v>3240</v>
      </c>
      <c r="K19" s="44">
        <f t="shared" si="0"/>
        <v>810</v>
      </c>
      <c r="M19" s="26">
        <f t="shared" si="1"/>
        <v>0</v>
      </c>
    </row>
    <row r="20" spans="1:13" x14ac:dyDescent="0.35">
      <c r="A20" s="13" t="s">
        <v>24</v>
      </c>
      <c r="B20" s="107">
        <f>Kostenrechnung!E20</f>
        <v>5860</v>
      </c>
      <c r="C20" s="11" t="s">
        <v>34</v>
      </c>
      <c r="D20" s="110">
        <f>Kostenrechnung!G20</f>
        <v>5860</v>
      </c>
      <c r="E20" s="108" t="s">
        <v>194</v>
      </c>
      <c r="F20" s="45">
        <f>K20*45</f>
        <v>2637</v>
      </c>
      <c r="G20" s="45">
        <f>K20*11</f>
        <v>644.6</v>
      </c>
      <c r="H20" s="45">
        <f t="shared" ref="H20:H23" si="2">K20*20</f>
        <v>1172</v>
      </c>
      <c r="I20" s="45">
        <f>K20*17</f>
        <v>996.2</v>
      </c>
      <c r="J20" s="45">
        <f>K20*7</f>
        <v>410.2</v>
      </c>
      <c r="K20" s="44">
        <f t="shared" si="0"/>
        <v>58.6</v>
      </c>
      <c r="M20" s="26">
        <f t="shared" si="1"/>
        <v>0</v>
      </c>
    </row>
    <row r="21" spans="1:13" x14ac:dyDescent="0.35">
      <c r="A21" s="13" t="s">
        <v>25</v>
      </c>
      <c r="B21" s="107">
        <f>Kostenrechnung!E21</f>
        <v>1956</v>
      </c>
      <c r="C21" s="11" t="s">
        <v>34</v>
      </c>
      <c r="D21" s="110">
        <f>Kostenrechnung!G21</f>
        <v>1956</v>
      </c>
      <c r="E21" s="108" t="s">
        <v>84</v>
      </c>
      <c r="F21" s="45">
        <f>K21*45</f>
        <v>880.19999999999993</v>
      </c>
      <c r="G21" s="45">
        <f>K21*15</f>
        <v>293.39999999999998</v>
      </c>
      <c r="H21" s="45">
        <f t="shared" si="2"/>
        <v>391.2</v>
      </c>
      <c r="I21" s="45">
        <f>K21*20</f>
        <v>391.2</v>
      </c>
      <c r="J21" s="45"/>
      <c r="K21" s="44">
        <f t="shared" si="0"/>
        <v>19.559999999999999</v>
      </c>
      <c r="M21" s="26">
        <f t="shared" si="1"/>
        <v>2.2737367544323206E-13</v>
      </c>
    </row>
    <row r="22" spans="1:13" x14ac:dyDescent="0.35">
      <c r="A22" s="13" t="s">
        <v>47</v>
      </c>
      <c r="B22" s="107">
        <f>Kostenrechnung!E22</f>
        <v>12690</v>
      </c>
      <c r="C22" s="11" t="s">
        <v>34</v>
      </c>
      <c r="D22" s="110">
        <f>Kostenrechnung!G22</f>
        <v>12690</v>
      </c>
      <c r="E22" s="108" t="s">
        <v>230</v>
      </c>
      <c r="F22" s="45">
        <f>K22*39</f>
        <v>4949.1000000000004</v>
      </c>
      <c r="G22" s="45">
        <f>K22*11</f>
        <v>1395.9</v>
      </c>
      <c r="H22" s="45">
        <f>K22*21</f>
        <v>2664.9</v>
      </c>
      <c r="I22" s="45">
        <f>K22*23</f>
        <v>2918.7000000000003</v>
      </c>
      <c r="J22" s="45">
        <f>K22*6</f>
        <v>761.40000000000009</v>
      </c>
      <c r="K22" s="44">
        <f t="shared" si="0"/>
        <v>126.9</v>
      </c>
      <c r="M22" s="26">
        <f t="shared" si="1"/>
        <v>0</v>
      </c>
    </row>
    <row r="23" spans="1:13" x14ac:dyDescent="0.35">
      <c r="A23" s="13" t="s">
        <v>48</v>
      </c>
      <c r="B23" s="107">
        <f>Kostenrechnung!E23</f>
        <v>4920</v>
      </c>
      <c r="C23" s="11" t="s">
        <v>34</v>
      </c>
      <c r="D23" s="110">
        <f>Kostenrechnung!G23</f>
        <v>4920</v>
      </c>
      <c r="E23" s="108" t="s">
        <v>258</v>
      </c>
      <c r="F23" s="45">
        <f>K23*40</f>
        <v>1968</v>
      </c>
      <c r="G23" s="45">
        <f>K23*15</f>
        <v>738</v>
      </c>
      <c r="H23" s="45">
        <f t="shared" si="2"/>
        <v>984</v>
      </c>
      <c r="I23" s="45">
        <f>K23*20</f>
        <v>984</v>
      </c>
      <c r="J23" s="45">
        <f>K23*5</f>
        <v>246</v>
      </c>
      <c r="K23" s="44">
        <f t="shared" si="0"/>
        <v>49.2</v>
      </c>
      <c r="M23" s="26">
        <f t="shared" si="1"/>
        <v>0</v>
      </c>
    </row>
    <row r="24" spans="1:13" x14ac:dyDescent="0.35">
      <c r="A24" s="13" t="s">
        <v>26</v>
      </c>
      <c r="B24" s="107">
        <f>Kostenrechnung!E24</f>
        <v>5480</v>
      </c>
      <c r="C24" s="11" t="s">
        <v>69</v>
      </c>
      <c r="D24" s="110">
        <f>Kostenrechnung!G24</f>
        <v>5480</v>
      </c>
      <c r="E24" s="108" t="s">
        <v>230</v>
      </c>
      <c r="F24" s="45">
        <f>K24*39</f>
        <v>2137.1999999999998</v>
      </c>
      <c r="G24" s="45">
        <f>K24*11</f>
        <v>602.79999999999995</v>
      </c>
      <c r="H24" s="45">
        <f>K24*21</f>
        <v>1150.8</v>
      </c>
      <c r="I24" s="45">
        <f>K24*23</f>
        <v>1260.3999999999999</v>
      </c>
      <c r="J24" s="45">
        <f>K24*6</f>
        <v>328.79999999999995</v>
      </c>
      <c r="K24" s="44">
        <f t="shared" si="0"/>
        <v>54.8</v>
      </c>
      <c r="M24" s="26">
        <f t="shared" si="1"/>
        <v>0</v>
      </c>
    </row>
    <row r="25" spans="1:13" x14ac:dyDescent="0.35">
      <c r="A25" s="13" t="s">
        <v>27</v>
      </c>
      <c r="B25" s="107">
        <f>Kostenrechnung!E25</f>
        <v>9680</v>
      </c>
      <c r="C25" s="11" t="s">
        <v>34</v>
      </c>
      <c r="D25" s="110">
        <f>Kostenrechnung!G25</f>
        <v>9680</v>
      </c>
      <c r="E25" s="108" t="s">
        <v>230</v>
      </c>
      <c r="F25" s="45">
        <f>K25*39</f>
        <v>3775.2</v>
      </c>
      <c r="G25" s="45">
        <f>K25*11</f>
        <v>1064.8</v>
      </c>
      <c r="H25" s="45">
        <f>K25*21</f>
        <v>2032.8</v>
      </c>
      <c r="I25" s="45">
        <f>K25*23</f>
        <v>2226.4</v>
      </c>
      <c r="J25" s="45">
        <f>K25*6</f>
        <v>580.79999999999995</v>
      </c>
      <c r="K25" s="44">
        <f t="shared" si="0"/>
        <v>96.8</v>
      </c>
      <c r="M25" s="26">
        <f t="shared" si="1"/>
        <v>0</v>
      </c>
    </row>
    <row r="26" spans="1:13" x14ac:dyDescent="0.35">
      <c r="A26" s="13" t="s">
        <v>28</v>
      </c>
      <c r="B26" s="107">
        <f>Kostenrechnung!E26</f>
        <v>7140</v>
      </c>
      <c r="C26" s="11" t="s">
        <v>34</v>
      </c>
      <c r="D26" s="110">
        <f>Kostenrechnung!G26</f>
        <v>7140</v>
      </c>
      <c r="E26" s="108" t="s">
        <v>195</v>
      </c>
      <c r="F26" s="45">
        <f>K26*34</f>
        <v>2427.6000000000004</v>
      </c>
      <c r="G26" s="45">
        <f>K26*14</f>
        <v>999.60000000000014</v>
      </c>
      <c r="H26" s="45">
        <f>K26*23</f>
        <v>1642.2</v>
      </c>
      <c r="I26" s="45">
        <f>K26*25</f>
        <v>1785.0000000000002</v>
      </c>
      <c r="J26" s="45">
        <f>K26*4</f>
        <v>285.60000000000002</v>
      </c>
      <c r="K26" s="44">
        <f t="shared" si="0"/>
        <v>71.400000000000006</v>
      </c>
      <c r="M26" s="26">
        <f t="shared" si="1"/>
        <v>-7.9580786405131221E-13</v>
      </c>
    </row>
    <row r="27" spans="1:13" x14ac:dyDescent="0.35">
      <c r="A27" s="13" t="s">
        <v>32</v>
      </c>
      <c r="B27" s="107">
        <f>Kostenrechnung!E30</f>
        <v>2890</v>
      </c>
      <c r="C27" s="11" t="s">
        <v>34</v>
      </c>
      <c r="D27" s="110">
        <f>Kostenrechnung!G30</f>
        <v>2890</v>
      </c>
      <c r="E27" s="108" t="s">
        <v>256</v>
      </c>
      <c r="F27" s="45">
        <f>K27*40</f>
        <v>1156</v>
      </c>
      <c r="G27" s="45">
        <f>K27*12</f>
        <v>346.79999999999995</v>
      </c>
      <c r="H27" s="45">
        <f>K27*21</f>
        <v>606.9</v>
      </c>
      <c r="I27" s="45">
        <f>K27*24</f>
        <v>693.59999999999991</v>
      </c>
      <c r="J27" s="45">
        <f>K27*3</f>
        <v>86.699999999999989</v>
      </c>
      <c r="K27" s="44">
        <f t="shared" si="0"/>
        <v>28.9</v>
      </c>
      <c r="M27" s="26">
        <f t="shared" si="1"/>
        <v>1.7053025658242404E-13</v>
      </c>
    </row>
    <row r="28" spans="1:13" x14ac:dyDescent="0.35">
      <c r="A28" s="13" t="s">
        <v>51</v>
      </c>
      <c r="B28" s="107">
        <f>Kostenrechnung!E32</f>
        <v>47320</v>
      </c>
      <c r="C28" s="11" t="s">
        <v>34</v>
      </c>
      <c r="D28" s="110">
        <f>Kostenrechnung!G32</f>
        <v>47320</v>
      </c>
      <c r="E28" s="108" t="s">
        <v>255</v>
      </c>
      <c r="F28" s="45">
        <f>K28*30</f>
        <v>14196</v>
      </c>
      <c r="G28" s="45">
        <f>K28*15</f>
        <v>7098</v>
      </c>
      <c r="H28" s="45">
        <f>K28*25</f>
        <v>11830</v>
      </c>
      <c r="I28" s="45">
        <f>K28*25</f>
        <v>11830</v>
      </c>
      <c r="J28" s="45">
        <f>K28*5</f>
        <v>2366</v>
      </c>
      <c r="K28" s="44">
        <f t="shared" si="0"/>
        <v>473.2</v>
      </c>
      <c r="M28" s="26">
        <f t="shared" si="1"/>
        <v>0</v>
      </c>
    </row>
    <row r="29" spans="1:13" x14ac:dyDescent="0.35">
      <c r="A29" s="13" t="s">
        <v>58</v>
      </c>
      <c r="B29" s="107">
        <f>Kostenrechnung!E33</f>
        <v>5125</v>
      </c>
      <c r="C29" s="11" t="s">
        <v>34</v>
      </c>
      <c r="D29" s="110">
        <f>Kostenrechnung!G33</f>
        <v>5125</v>
      </c>
      <c r="E29" s="108" t="s">
        <v>257</v>
      </c>
      <c r="F29" s="45">
        <f>K29*60</f>
        <v>3075</v>
      </c>
      <c r="G29" s="45">
        <f>K29*15</f>
        <v>768.75</v>
      </c>
      <c r="H29" s="45">
        <f>K29*11</f>
        <v>563.75</v>
      </c>
      <c r="I29" s="45">
        <f>K29*10</f>
        <v>512.5</v>
      </c>
      <c r="J29" s="45">
        <f>K29*4</f>
        <v>205</v>
      </c>
      <c r="K29" s="44">
        <f t="shared" si="0"/>
        <v>51.25</v>
      </c>
      <c r="M29" s="26">
        <f t="shared" si="1"/>
        <v>0</v>
      </c>
    </row>
    <row r="30" spans="1:13" x14ac:dyDescent="0.35">
      <c r="A30" s="13" t="s">
        <v>53</v>
      </c>
      <c r="B30" s="107">
        <f>Kostenrechnung!E34</f>
        <v>45600</v>
      </c>
      <c r="C30" s="11" t="s">
        <v>69</v>
      </c>
      <c r="D30" s="110">
        <f>Kostenrechnung!G34</f>
        <v>45600</v>
      </c>
      <c r="E30" s="108" t="s">
        <v>200</v>
      </c>
      <c r="F30" s="45">
        <f>K30*55</f>
        <v>25080</v>
      </c>
      <c r="G30" s="45">
        <f>K30*12</f>
        <v>5472</v>
      </c>
      <c r="H30" s="45">
        <f t="shared" ref="H30" si="3">K30*15</f>
        <v>6840</v>
      </c>
      <c r="I30" s="45">
        <f>K30*15</f>
        <v>6840</v>
      </c>
      <c r="J30" s="45">
        <f>K30*3</f>
        <v>1368</v>
      </c>
      <c r="K30" s="44">
        <f t="shared" si="0"/>
        <v>456</v>
      </c>
      <c r="M30" s="26">
        <f t="shared" si="1"/>
        <v>0</v>
      </c>
    </row>
    <row r="31" spans="1:13" x14ac:dyDescent="0.35">
      <c r="A31" s="13" t="s">
        <v>54</v>
      </c>
      <c r="B31" s="107">
        <f>Kostenrechnung!E35</f>
        <v>8500</v>
      </c>
      <c r="C31" s="11" t="s">
        <v>34</v>
      </c>
      <c r="D31" s="110">
        <f>Kostenrechnung!G35</f>
        <v>8500</v>
      </c>
      <c r="E31" s="108" t="s">
        <v>194</v>
      </c>
      <c r="F31" s="45">
        <f>K31*45</f>
        <v>3825</v>
      </c>
      <c r="G31" s="45">
        <f>K31*11</f>
        <v>935</v>
      </c>
      <c r="H31" s="45">
        <f>K31*20</f>
        <v>1700</v>
      </c>
      <c r="I31" s="45">
        <f>K31*17</f>
        <v>1445</v>
      </c>
      <c r="J31" s="45">
        <f>K31*7</f>
        <v>595</v>
      </c>
      <c r="K31" s="44">
        <f t="shared" si="0"/>
        <v>85</v>
      </c>
      <c r="M31" s="26">
        <f t="shared" si="1"/>
        <v>0</v>
      </c>
    </row>
    <row r="32" spans="1:13" x14ac:dyDescent="0.35">
      <c r="A32" s="11"/>
      <c r="B32" s="26">
        <f>SUM(B5:B31)</f>
        <v>810166.03455999994</v>
      </c>
      <c r="C32" s="11">
        <f>SUM(C5:C31)</f>
        <v>322750.71999999997</v>
      </c>
      <c r="D32" s="110">
        <f>SUM(D5:D31)</f>
        <v>487415.31455999997</v>
      </c>
      <c r="E32" s="8"/>
      <c r="F32" s="129">
        <f>SUM(F5:F31)</f>
        <v>228110.88267840003</v>
      </c>
      <c r="G32" s="129">
        <f>SUM(G5:G31)</f>
        <v>62240.324601600005</v>
      </c>
      <c r="H32" s="129">
        <f>SUM(H5:H31)</f>
        <v>89566.499203199986</v>
      </c>
      <c r="I32" s="129">
        <f>SUM(I5:I31)</f>
        <v>90495.035494399985</v>
      </c>
      <c r="J32" s="129">
        <f>SUM(J5:J31)</f>
        <v>17002.5725824</v>
      </c>
    </row>
    <row r="33" spans="1:11" x14ac:dyDescent="0.35">
      <c r="E33" s="8"/>
      <c r="K33" s="43">
        <f>D32-F32-G32-H32-I32-J32</f>
        <v>-3.2741809263825417E-11</v>
      </c>
    </row>
    <row r="34" spans="1:11" ht="15.5" x14ac:dyDescent="0.35">
      <c r="A34" s="49" t="s">
        <v>76</v>
      </c>
      <c r="E34" s="8"/>
    </row>
    <row r="35" spans="1:11" x14ac:dyDescent="0.35">
      <c r="A35" s="50" t="s">
        <v>77</v>
      </c>
      <c r="B35" s="112" t="s">
        <v>235</v>
      </c>
      <c r="C35" s="112"/>
      <c r="D35" s="51">
        <f>(F32/(C10*0.77))</f>
        <v>1.909785906372043</v>
      </c>
      <c r="E35" s="8"/>
    </row>
    <row r="36" spans="1:11" x14ac:dyDescent="0.35">
      <c r="A36" s="50" t="s">
        <v>78</v>
      </c>
      <c r="B36" s="112" t="s">
        <v>235</v>
      </c>
      <c r="C36" s="112"/>
      <c r="D36" s="51">
        <f>(G32/(C10*0.23))</f>
        <v>1.7445098146832361</v>
      </c>
    </row>
    <row r="37" spans="1:11" x14ac:dyDescent="0.35">
      <c r="A37" s="50" t="s">
        <v>81</v>
      </c>
      <c r="B37" s="112" t="s">
        <v>235</v>
      </c>
      <c r="C37" s="112"/>
      <c r="D37" s="51">
        <f>H32/C11</f>
        <v>1.6540485830101865</v>
      </c>
    </row>
    <row r="38" spans="1:11" x14ac:dyDescent="0.35">
      <c r="A38" s="50" t="s">
        <v>82</v>
      </c>
      <c r="B38" s="112" t="s">
        <v>235</v>
      </c>
      <c r="C38" s="112"/>
      <c r="D38" s="51">
        <f>I32/C12</f>
        <v>1.1338828998622474</v>
      </c>
    </row>
    <row r="39" spans="1:11" x14ac:dyDescent="0.35">
      <c r="A39" s="50" t="s">
        <v>83</v>
      </c>
      <c r="B39" s="112" t="s">
        <v>235</v>
      </c>
      <c r="C39" s="112"/>
      <c r="D39" s="51">
        <f>J32/C6</f>
        <v>0.5049769106741907</v>
      </c>
    </row>
    <row r="41" spans="1:11" x14ac:dyDescent="0.35">
      <c r="A41" s="48" t="s">
        <v>161</v>
      </c>
    </row>
    <row r="42" spans="1:11" x14ac:dyDescent="0.35">
      <c r="A42" s="73" t="s">
        <v>34</v>
      </c>
      <c r="B42" s="10" t="s">
        <v>163</v>
      </c>
      <c r="C42" s="10" t="s">
        <v>70</v>
      </c>
      <c r="D42" s="10" t="s">
        <v>71</v>
      </c>
      <c r="E42" s="10" t="s">
        <v>249</v>
      </c>
    </row>
    <row r="43" spans="1:11" x14ac:dyDescent="0.35">
      <c r="A43" s="50" t="s">
        <v>162</v>
      </c>
      <c r="B43" s="103">
        <f>'Angabe Kostenermittlung'!D5+'Angabe Kostenermittlung'!D6</f>
        <v>447997.39599999995</v>
      </c>
      <c r="C43" s="103">
        <f>'Angabe Kostenermittlung'!D7</f>
        <v>146852.622</v>
      </c>
      <c r="D43" s="103">
        <f>'Angabe Kostenermittlung'!D8</f>
        <v>208753.636</v>
      </c>
      <c r="E43" s="104">
        <f>'Angabe Kostenermittlung'!D9</f>
        <v>55555.5</v>
      </c>
    </row>
    <row r="44" spans="1:11" x14ac:dyDescent="0.35">
      <c r="A44" s="13" t="s">
        <v>164</v>
      </c>
      <c r="B44" s="103">
        <f>C10</f>
        <v>155121</v>
      </c>
      <c r="C44" s="103">
        <f>C11</f>
        <v>54149.86</v>
      </c>
      <c r="D44" s="103">
        <f>C12</f>
        <v>79809.86</v>
      </c>
      <c r="E44" s="103"/>
    </row>
    <row r="45" spans="1:11" x14ac:dyDescent="0.35">
      <c r="A45" s="13" t="s">
        <v>165</v>
      </c>
      <c r="B45" s="103">
        <f>F32+G32</f>
        <v>290351.20728000003</v>
      </c>
      <c r="C45" s="103">
        <f>H32</f>
        <v>89566.499203199986</v>
      </c>
      <c r="D45" s="103">
        <f>I32</f>
        <v>90495.035494399985</v>
      </c>
      <c r="E45" s="103">
        <f>J32</f>
        <v>17002.5725824</v>
      </c>
    </row>
    <row r="46" spans="1:11" x14ac:dyDescent="0.35">
      <c r="A46" s="13" t="s">
        <v>166</v>
      </c>
      <c r="B46" s="103"/>
      <c r="C46" s="103"/>
      <c r="D46" s="103"/>
      <c r="E46" s="103">
        <f>C6</f>
        <v>33670</v>
      </c>
    </row>
    <row r="47" spans="1:11" x14ac:dyDescent="0.35">
      <c r="A47" s="30" t="s">
        <v>161</v>
      </c>
      <c r="B47" s="105">
        <f>B43-B44-B45</f>
        <v>2525.1887199999182</v>
      </c>
      <c r="C47" s="106">
        <f>C43-C44-C45</f>
        <v>3136.2627968000161</v>
      </c>
      <c r="D47" s="106">
        <f>D43-D44-D45</f>
        <v>38448.740505600013</v>
      </c>
      <c r="E47" s="106">
        <f>E43-E45-E46</f>
        <v>4882.9274176000035</v>
      </c>
    </row>
    <row r="48" spans="1:11" x14ac:dyDescent="0.35">
      <c r="A48" s="8"/>
      <c r="B48" t="s">
        <v>34</v>
      </c>
      <c r="C48" t="s">
        <v>34</v>
      </c>
    </row>
  </sheetData>
  <pageMargins left="0.7" right="0.7" top="0.78740157499999996" bottom="0.78740157499999996" header="0.3" footer="0.3"/>
  <pageSetup paperSize="9" scale="67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7"/>
  <sheetViews>
    <sheetView workbookViewId="0">
      <selection activeCell="E4" sqref="E4"/>
    </sheetView>
  </sheetViews>
  <sheetFormatPr baseColWidth="10" defaultRowHeight="14.5" x14ac:dyDescent="0.35"/>
  <cols>
    <col min="1" max="1" width="33.26953125" style="8" customWidth="1"/>
    <col min="2" max="3" width="9.453125" customWidth="1"/>
  </cols>
  <sheetData>
    <row r="1" spans="1:9" ht="18.5" x14ac:dyDescent="0.45">
      <c r="A1" s="55" t="s">
        <v>118</v>
      </c>
    </row>
    <row r="2" spans="1:9" ht="15" thickBot="1" x14ac:dyDescent="0.4"/>
    <row r="3" spans="1:9" s="18" customFormat="1" ht="29.5" thickBot="1" x14ac:dyDescent="0.4">
      <c r="A3" s="56" t="s">
        <v>119</v>
      </c>
      <c r="B3" s="17" t="s">
        <v>205</v>
      </c>
      <c r="C3" s="17" t="s">
        <v>158</v>
      </c>
      <c r="D3" s="17" t="s">
        <v>120</v>
      </c>
      <c r="E3" s="17" t="s">
        <v>121</v>
      </c>
      <c r="F3" s="17" t="s">
        <v>204</v>
      </c>
      <c r="G3" s="17" t="s">
        <v>203</v>
      </c>
      <c r="H3" s="17" t="s">
        <v>122</v>
      </c>
      <c r="I3" s="130" t="s">
        <v>123</v>
      </c>
    </row>
    <row r="4" spans="1:9" x14ac:dyDescent="0.35">
      <c r="A4" s="8" t="s">
        <v>126</v>
      </c>
      <c r="B4" s="11">
        <v>16</v>
      </c>
      <c r="C4" s="83">
        <f>'Kalkuliertes Team'!G14</f>
        <v>17.387096774193548</v>
      </c>
      <c r="D4" s="117">
        <f>B4*C4/60</f>
        <v>4.6365591397849464</v>
      </c>
      <c r="E4" s="84">
        <f>Kostenstellenrechnung!D36</f>
        <v>1.7445098146832361</v>
      </c>
      <c r="F4" s="121">
        <f>(D4+D4)*E4</f>
        <v>16.177045851428204</v>
      </c>
      <c r="G4" s="15">
        <f>F4*0.2</f>
        <v>3.2354091702856409</v>
      </c>
      <c r="H4" s="122">
        <f>F4+G4</f>
        <v>19.412455021713846</v>
      </c>
      <c r="I4" s="85">
        <v>20</v>
      </c>
    </row>
    <row r="5" spans="1:9" x14ac:dyDescent="0.35">
      <c r="A5" s="8" t="s">
        <v>127</v>
      </c>
      <c r="B5" s="11">
        <v>26</v>
      </c>
      <c r="C5" s="83">
        <f>C4</f>
        <v>17.387096774193548</v>
      </c>
      <c r="D5" s="117">
        <f>B5*C5/60</f>
        <v>7.5344086021505374</v>
      </c>
      <c r="E5" s="84">
        <f>Kostenstellenrechnung!D36</f>
        <v>1.7445098146832361</v>
      </c>
      <c r="F5" s="121">
        <f t="shared" ref="F5:F17" si="0">(D5+D5)*E5</f>
        <v>26.287699508570828</v>
      </c>
      <c r="G5" s="15">
        <f>F5*0.2</f>
        <v>5.257539901714166</v>
      </c>
      <c r="H5" s="122">
        <f>F5+G5</f>
        <v>31.545239410284992</v>
      </c>
      <c r="I5" s="47">
        <v>32</v>
      </c>
    </row>
    <row r="6" spans="1:9" x14ac:dyDescent="0.35">
      <c r="A6" s="8" t="s">
        <v>128</v>
      </c>
      <c r="B6" s="11">
        <v>22</v>
      </c>
      <c r="C6" s="83">
        <f>C4</f>
        <v>17.387096774193548</v>
      </c>
      <c r="D6" s="117">
        <f t="shared" ref="D6:D8" si="1">B6*C6/60</f>
        <v>6.3752688172043008</v>
      </c>
      <c r="E6" s="84">
        <f>Kostenstellenrechnung!D35</f>
        <v>1.909785906372043</v>
      </c>
      <c r="F6" s="121">
        <f t="shared" si="0"/>
        <v>24.350797072859876</v>
      </c>
      <c r="G6" s="15">
        <f t="shared" ref="G6:G7" si="2">F6*0.2</f>
        <v>4.870159414571976</v>
      </c>
      <c r="H6" s="122">
        <f t="shared" ref="H6:H7" si="3">F6+G6</f>
        <v>29.220956487431852</v>
      </c>
      <c r="I6" s="47">
        <v>30</v>
      </c>
    </row>
    <row r="7" spans="1:9" x14ac:dyDescent="0.35">
      <c r="A7" s="8" t="s">
        <v>129</v>
      </c>
      <c r="B7" s="11">
        <v>50</v>
      </c>
      <c r="C7" s="83">
        <f>C6</f>
        <v>17.387096774193548</v>
      </c>
      <c r="D7" s="117">
        <f t="shared" si="1"/>
        <v>14.489247311827958</v>
      </c>
      <c r="E7" s="84">
        <f>E6</f>
        <v>1.909785906372043</v>
      </c>
      <c r="F7" s="121">
        <f t="shared" si="0"/>
        <v>55.342720620136092</v>
      </c>
      <c r="G7" s="15">
        <f t="shared" si="2"/>
        <v>11.06854412402722</v>
      </c>
      <c r="H7" s="122">
        <f t="shared" si="3"/>
        <v>66.411264744163304</v>
      </c>
      <c r="I7" s="47">
        <v>68</v>
      </c>
    </row>
    <row r="8" spans="1:9" x14ac:dyDescent="0.35">
      <c r="A8" s="8" t="s">
        <v>130</v>
      </c>
      <c r="B8" s="86">
        <v>85</v>
      </c>
      <c r="C8" s="93">
        <f>C7</f>
        <v>17.387096774193548</v>
      </c>
      <c r="D8" s="118">
        <f t="shared" si="1"/>
        <v>24.631720430107524</v>
      </c>
      <c r="E8" s="87">
        <f>E7</f>
        <v>1.909785906372043</v>
      </c>
      <c r="F8" s="121">
        <f t="shared" si="0"/>
        <v>94.082625054231343</v>
      </c>
      <c r="G8" s="123">
        <f>F8*0.2</f>
        <v>18.81652501084627</v>
      </c>
      <c r="H8" s="124">
        <f>F8+G8</f>
        <v>112.89915006507761</v>
      </c>
      <c r="I8" s="88">
        <v>115</v>
      </c>
    </row>
    <row r="9" spans="1:9" x14ac:dyDescent="0.35">
      <c r="A9" s="92"/>
      <c r="B9" s="22"/>
      <c r="C9" s="22"/>
      <c r="D9" s="119"/>
      <c r="E9" s="22"/>
      <c r="F9" s="121" t="s">
        <v>34</v>
      </c>
      <c r="G9" s="125" t="s">
        <v>34</v>
      </c>
      <c r="H9" s="126" t="s">
        <v>34</v>
      </c>
      <c r="I9" s="22"/>
    </row>
    <row r="10" spans="1:9" x14ac:dyDescent="0.35">
      <c r="A10" s="8" t="s">
        <v>131</v>
      </c>
      <c r="B10" s="89">
        <v>30</v>
      </c>
      <c r="C10" s="89">
        <f>'Kalkuliertes Team'!G20</f>
        <v>17.130664566929134</v>
      </c>
      <c r="D10" s="120">
        <f>B10*C10/60</f>
        <v>8.5653322834645671</v>
      </c>
      <c r="E10" s="90">
        <f>Kostenstellenrechnung!D37</f>
        <v>1.6540485830101865</v>
      </c>
      <c r="F10" s="121">
        <f t="shared" si="0"/>
        <v>28.334951452951945</v>
      </c>
      <c r="G10" s="127">
        <f t="shared" ref="G10:G17" si="4">F10*0.2</f>
        <v>5.6669902905903893</v>
      </c>
      <c r="H10" s="128">
        <f t="shared" ref="H10:H17" si="5">F10+G10</f>
        <v>34.001941743542332</v>
      </c>
      <c r="I10" s="91">
        <v>34</v>
      </c>
    </row>
    <row r="11" spans="1:9" x14ac:dyDescent="0.35">
      <c r="A11" s="8" t="s">
        <v>132</v>
      </c>
      <c r="B11" s="11">
        <v>45</v>
      </c>
      <c r="C11" s="11">
        <f>C10</f>
        <v>17.130664566929134</v>
      </c>
      <c r="D11" s="117">
        <f t="shared" ref="D11:D17" si="6">B11*C11/60</f>
        <v>12.847998425196851</v>
      </c>
      <c r="E11" s="84">
        <f>Kostenstellenrechnung!D37</f>
        <v>1.6540485830101865</v>
      </c>
      <c r="F11" s="121">
        <f t="shared" si="0"/>
        <v>42.502427179427919</v>
      </c>
      <c r="G11" s="15">
        <f t="shared" si="4"/>
        <v>8.5004854358855848</v>
      </c>
      <c r="H11" s="122">
        <f t="shared" si="5"/>
        <v>51.002912615313505</v>
      </c>
      <c r="I11" s="47">
        <v>52</v>
      </c>
    </row>
    <row r="12" spans="1:9" x14ac:dyDescent="0.35">
      <c r="A12" s="8" t="s">
        <v>133</v>
      </c>
      <c r="B12" s="86">
        <v>60</v>
      </c>
      <c r="C12" s="86">
        <f>C11</f>
        <v>17.130664566929134</v>
      </c>
      <c r="D12" s="118">
        <f t="shared" si="6"/>
        <v>17.130664566929134</v>
      </c>
      <c r="E12" s="87">
        <f>Kostenstellenrechnung!D37</f>
        <v>1.6540485830101865</v>
      </c>
      <c r="F12" s="121">
        <f t="shared" si="0"/>
        <v>56.669902905903889</v>
      </c>
      <c r="G12" s="123">
        <f t="shared" si="4"/>
        <v>11.333980581180779</v>
      </c>
      <c r="H12" s="124">
        <f t="shared" si="5"/>
        <v>68.003883487084664</v>
      </c>
      <c r="I12" s="88">
        <v>68</v>
      </c>
    </row>
    <row r="13" spans="1:9" x14ac:dyDescent="0.35">
      <c r="A13" s="92"/>
      <c r="B13" s="22"/>
      <c r="C13" s="22"/>
      <c r="D13" s="119" t="s">
        <v>34</v>
      </c>
      <c r="E13" s="22"/>
      <c r="F13" s="121" t="s">
        <v>34</v>
      </c>
      <c r="G13" s="125" t="s">
        <v>34</v>
      </c>
      <c r="H13" s="126" t="s">
        <v>34</v>
      </c>
      <c r="I13" s="22"/>
    </row>
    <row r="14" spans="1:9" x14ac:dyDescent="0.35">
      <c r="A14" s="8" t="s">
        <v>134</v>
      </c>
      <c r="B14" s="89">
        <v>30</v>
      </c>
      <c r="C14" s="89">
        <f>'Kalkuliertes Team'!G26</f>
        <v>25.941796445880453</v>
      </c>
      <c r="D14" s="120">
        <f t="shared" si="6"/>
        <v>12.970898222940226</v>
      </c>
      <c r="E14" s="90">
        <f>Kostenstellenrechnung!D38</f>
        <v>1.1338828998622474</v>
      </c>
      <c r="F14" s="121">
        <f t="shared" si="0"/>
        <v>29.414959381691073</v>
      </c>
      <c r="G14" s="127">
        <f t="shared" si="4"/>
        <v>5.882991876338215</v>
      </c>
      <c r="H14" s="128">
        <f t="shared" si="5"/>
        <v>35.297951258029286</v>
      </c>
      <c r="I14" s="91">
        <v>35</v>
      </c>
    </row>
    <row r="15" spans="1:9" x14ac:dyDescent="0.35">
      <c r="A15" s="8" t="s">
        <v>135</v>
      </c>
      <c r="B15" s="11">
        <v>35</v>
      </c>
      <c r="C15" s="11">
        <f>C14</f>
        <v>25.941796445880453</v>
      </c>
      <c r="D15" s="117">
        <f t="shared" si="6"/>
        <v>15.132714593430263</v>
      </c>
      <c r="E15" s="84">
        <f>E14</f>
        <v>1.1338828998622474</v>
      </c>
      <c r="F15" s="121">
        <f t="shared" si="0"/>
        <v>34.317452611972918</v>
      </c>
      <c r="G15" s="15">
        <f t="shared" si="4"/>
        <v>6.8634905223945841</v>
      </c>
      <c r="H15" s="122">
        <f t="shared" si="5"/>
        <v>41.180943134367503</v>
      </c>
      <c r="I15" s="47">
        <v>42</v>
      </c>
    </row>
    <row r="16" spans="1:9" x14ac:dyDescent="0.35">
      <c r="A16" s="8" t="s">
        <v>136</v>
      </c>
      <c r="B16" s="11">
        <v>45</v>
      </c>
      <c r="C16" s="11">
        <f>C15</f>
        <v>25.941796445880453</v>
      </c>
      <c r="D16" s="117">
        <f t="shared" si="6"/>
        <v>19.456347334410339</v>
      </c>
      <c r="E16" s="84">
        <f>E15</f>
        <v>1.1338828998622474</v>
      </c>
      <c r="F16" s="121">
        <f t="shared" si="0"/>
        <v>44.122439072536608</v>
      </c>
      <c r="G16" s="15">
        <f t="shared" si="4"/>
        <v>8.8244878145073216</v>
      </c>
      <c r="H16" s="122">
        <f t="shared" si="5"/>
        <v>52.946926887043929</v>
      </c>
      <c r="I16" s="47">
        <v>54</v>
      </c>
    </row>
    <row r="17" spans="1:9" x14ac:dyDescent="0.35">
      <c r="A17" s="8" t="s">
        <v>137</v>
      </c>
      <c r="B17" s="11">
        <v>60</v>
      </c>
      <c r="C17" s="11">
        <f>C16</f>
        <v>25.941796445880453</v>
      </c>
      <c r="D17" s="117">
        <f t="shared" si="6"/>
        <v>25.941796445880453</v>
      </c>
      <c r="E17" s="84">
        <f>E16</f>
        <v>1.1338828998622474</v>
      </c>
      <c r="F17" s="121">
        <f t="shared" si="0"/>
        <v>58.829918763382146</v>
      </c>
      <c r="G17" s="15">
        <f t="shared" si="4"/>
        <v>11.76598375267643</v>
      </c>
      <c r="H17" s="122">
        <f t="shared" si="5"/>
        <v>70.595902516058572</v>
      </c>
      <c r="I17" s="47">
        <v>72</v>
      </c>
    </row>
  </sheetData>
  <pageMargins left="0.7" right="0.7" top="0.78740157499999996" bottom="0.78740157499999996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topLeftCell="A13" workbookViewId="0">
      <selection activeCell="E28" sqref="E28"/>
    </sheetView>
  </sheetViews>
  <sheetFormatPr baseColWidth="10" defaultRowHeight="14.5" x14ac:dyDescent="0.35"/>
  <cols>
    <col min="1" max="1" width="6.81640625" customWidth="1"/>
    <col min="2" max="2" width="33.26953125" customWidth="1"/>
    <col min="5" max="5" width="24.453125" customWidth="1"/>
    <col min="7" max="7" width="55.7265625" customWidth="1"/>
    <col min="8" max="8" width="11.54296875" bestFit="1" customWidth="1"/>
    <col min="9" max="9" width="11.81640625" bestFit="1" customWidth="1"/>
  </cols>
  <sheetData>
    <row r="1" spans="1:9" ht="18.5" x14ac:dyDescent="0.45">
      <c r="A1" s="3" t="s">
        <v>87</v>
      </c>
    </row>
    <row r="3" spans="1:9" ht="15" customHeight="1" x14ac:dyDescent="0.35"/>
    <row r="4" spans="1:9" ht="15" customHeight="1" x14ac:dyDescent="0.35"/>
    <row r="5" spans="1:9" ht="15" customHeight="1" x14ac:dyDescent="0.35">
      <c r="A5" s="2" t="s">
        <v>246</v>
      </c>
      <c r="G5" s="1"/>
    </row>
    <row r="6" spans="1:9" ht="15" customHeight="1" x14ac:dyDescent="0.35">
      <c r="H6" t="s">
        <v>244</v>
      </c>
      <c r="I6" t="s">
        <v>245</v>
      </c>
    </row>
    <row r="7" spans="1:9" x14ac:dyDescent="0.35">
      <c r="A7" s="164" t="s">
        <v>242</v>
      </c>
      <c r="B7" s="165"/>
      <c r="C7" s="165"/>
      <c r="D7" s="165"/>
      <c r="E7" s="166" t="s">
        <v>97</v>
      </c>
      <c r="G7" s="154" t="s">
        <v>247</v>
      </c>
      <c r="H7" s="155">
        <v>2020</v>
      </c>
      <c r="I7" s="156"/>
    </row>
    <row r="8" spans="1:9" ht="90" customHeight="1" x14ac:dyDescent="0.35">
      <c r="A8" s="167" t="s">
        <v>92</v>
      </c>
      <c r="B8" s="174" t="s">
        <v>213</v>
      </c>
      <c r="C8" s="175"/>
      <c r="D8" s="163">
        <v>1410</v>
      </c>
      <c r="E8" s="168">
        <f>D8*14</f>
        <v>19740</v>
      </c>
      <c r="G8" s="157" t="s">
        <v>237</v>
      </c>
      <c r="H8" s="158">
        <v>1501</v>
      </c>
      <c r="I8" s="159">
        <f>H8*14</f>
        <v>21014</v>
      </c>
    </row>
    <row r="9" spans="1:9" ht="60" customHeight="1" x14ac:dyDescent="0.35">
      <c r="A9" s="167" t="s">
        <v>93</v>
      </c>
      <c r="B9" s="174" t="s">
        <v>214</v>
      </c>
      <c r="C9" s="175"/>
      <c r="D9" s="163">
        <v>1500</v>
      </c>
      <c r="E9" s="168">
        <f t="shared" ref="E9:E12" si="0">D9*14</f>
        <v>21000</v>
      </c>
      <c r="G9" s="157" t="s">
        <v>243</v>
      </c>
      <c r="H9" s="158" t="s">
        <v>34</v>
      </c>
      <c r="I9" s="159"/>
    </row>
    <row r="10" spans="1:9" ht="60" customHeight="1" x14ac:dyDescent="0.35">
      <c r="A10" s="167" t="s">
        <v>94</v>
      </c>
      <c r="B10" s="174" t="s">
        <v>215</v>
      </c>
      <c r="C10" s="175"/>
      <c r="D10" s="163">
        <v>1500</v>
      </c>
      <c r="E10" s="168">
        <f t="shared" si="0"/>
        <v>21000</v>
      </c>
      <c r="G10" s="157" t="s">
        <v>238</v>
      </c>
      <c r="H10" s="158">
        <v>1530</v>
      </c>
      <c r="I10" s="159">
        <f>H10*14</f>
        <v>21420</v>
      </c>
    </row>
    <row r="11" spans="1:9" ht="60" customHeight="1" x14ac:dyDescent="0.35">
      <c r="A11" s="167" t="s">
        <v>95</v>
      </c>
      <c r="B11" s="174" t="s">
        <v>216</v>
      </c>
      <c r="C11" s="175"/>
      <c r="D11" s="163">
        <v>1530</v>
      </c>
      <c r="E11" s="168">
        <f t="shared" si="0"/>
        <v>21420</v>
      </c>
      <c r="G11" s="157" t="s">
        <v>239</v>
      </c>
      <c r="H11" s="158">
        <v>1561</v>
      </c>
      <c r="I11" s="159">
        <f t="shared" ref="I11:I13" si="1">H11*14</f>
        <v>21854</v>
      </c>
    </row>
    <row r="12" spans="1:9" ht="60" customHeight="1" x14ac:dyDescent="0.35">
      <c r="A12" s="167" t="s">
        <v>96</v>
      </c>
      <c r="B12" s="174" t="s">
        <v>217</v>
      </c>
      <c r="C12" s="175"/>
      <c r="D12" s="163">
        <v>1570</v>
      </c>
      <c r="E12" s="168">
        <f t="shared" si="0"/>
        <v>21980</v>
      </c>
      <c r="G12" s="157" t="s">
        <v>240</v>
      </c>
      <c r="H12" s="158">
        <v>1601</v>
      </c>
      <c r="I12" s="159">
        <f t="shared" si="1"/>
        <v>22414</v>
      </c>
    </row>
    <row r="13" spans="1:9" ht="30" customHeight="1" x14ac:dyDescent="0.35">
      <c r="A13" s="169" t="s">
        <v>218</v>
      </c>
      <c r="B13" s="176" t="s">
        <v>219</v>
      </c>
      <c r="C13" s="177"/>
      <c r="D13" s="170">
        <v>1691</v>
      </c>
      <c r="E13" s="171">
        <f>D13*14</f>
        <v>23674</v>
      </c>
      <c r="G13" s="160" t="s">
        <v>241</v>
      </c>
      <c r="H13" s="161">
        <v>1725</v>
      </c>
      <c r="I13" s="162">
        <f t="shared" si="1"/>
        <v>24150</v>
      </c>
    </row>
    <row r="14" spans="1:9" ht="30" customHeight="1" x14ac:dyDescent="0.35">
      <c r="A14" s="99"/>
      <c r="B14" s="100"/>
      <c r="C14" s="100"/>
      <c r="D14" s="99"/>
      <c r="E14" s="9"/>
    </row>
    <row r="15" spans="1:9" x14ac:dyDescent="0.35">
      <c r="B15" s="1" t="s">
        <v>206</v>
      </c>
      <c r="D15" s="94"/>
    </row>
    <row r="16" spans="1:9" ht="16.5" x14ac:dyDescent="0.35">
      <c r="B16" s="172" t="s">
        <v>88</v>
      </c>
      <c r="C16" s="173"/>
      <c r="D16" s="95">
        <v>540</v>
      </c>
      <c r="E16" s="52">
        <f>D16*14</f>
        <v>7560</v>
      </c>
      <c r="G16" s="137"/>
    </row>
    <row r="17" spans="1:7" ht="16.5" x14ac:dyDescent="0.35">
      <c r="B17" s="172" t="s">
        <v>89</v>
      </c>
      <c r="C17" s="173"/>
      <c r="D17" s="95">
        <v>632</v>
      </c>
      <c r="E17" s="52">
        <f t="shared" ref="E17:E19" si="2">D17*14</f>
        <v>8848</v>
      </c>
      <c r="G17" s="137"/>
    </row>
    <row r="18" spans="1:7" ht="16.5" x14ac:dyDescent="0.35">
      <c r="B18" s="172" t="s">
        <v>90</v>
      </c>
      <c r="C18" s="173"/>
      <c r="D18" s="95">
        <v>839</v>
      </c>
      <c r="E18" s="52">
        <f t="shared" si="2"/>
        <v>11746</v>
      </c>
      <c r="G18" s="137"/>
    </row>
    <row r="19" spans="1:7" ht="16.5" x14ac:dyDescent="0.35">
      <c r="B19" s="172" t="s">
        <v>91</v>
      </c>
      <c r="C19" s="173"/>
      <c r="D19" s="95">
        <v>927</v>
      </c>
      <c r="E19" s="52">
        <f t="shared" si="2"/>
        <v>12978</v>
      </c>
      <c r="G19" s="137"/>
    </row>
    <row r="23" spans="1:7" ht="18.5" x14ac:dyDescent="0.45">
      <c r="A23" s="54"/>
      <c r="B23" s="54" t="s">
        <v>210</v>
      </c>
    </row>
    <row r="24" spans="1:7" x14ac:dyDescent="0.35">
      <c r="B24" s="1" t="s">
        <v>99</v>
      </c>
    </row>
    <row r="25" spans="1:7" ht="16" x14ac:dyDescent="0.35">
      <c r="B25" s="97" t="s">
        <v>260</v>
      </c>
      <c r="C25" s="11" t="s">
        <v>211</v>
      </c>
      <c r="D25" s="11" t="s">
        <v>212</v>
      </c>
      <c r="G25" s="138"/>
    </row>
    <row r="26" spans="1:7" ht="15.5" x14ac:dyDescent="0.35">
      <c r="B26" s="97" t="s">
        <v>207</v>
      </c>
      <c r="C26" s="98">
        <v>1400</v>
      </c>
      <c r="D26" s="98">
        <v>2309.3000000000002</v>
      </c>
      <c r="G26" s="139"/>
    </row>
    <row r="27" spans="1:7" ht="15.5" x14ac:dyDescent="0.35">
      <c r="B27" s="97" t="s">
        <v>208</v>
      </c>
      <c r="C27" s="98">
        <v>1884.99</v>
      </c>
      <c r="D27" s="98">
        <v>3569.11</v>
      </c>
      <c r="G27" s="139"/>
    </row>
    <row r="28" spans="1:7" ht="15.5" x14ac:dyDescent="0.35">
      <c r="B28" s="97" t="s">
        <v>209</v>
      </c>
      <c r="C28" s="98">
        <v>2937.58</v>
      </c>
      <c r="D28" s="98">
        <v>5153.0200000000004</v>
      </c>
      <c r="G28" s="139"/>
    </row>
    <row r="33" spans="2:3" x14ac:dyDescent="0.35">
      <c r="B33" s="1" t="s">
        <v>248</v>
      </c>
    </row>
    <row r="34" spans="2:3" x14ac:dyDescent="0.35">
      <c r="B34" s="53" t="s">
        <v>100</v>
      </c>
      <c r="C34" s="95">
        <v>600</v>
      </c>
    </row>
    <row r="35" spans="2:3" x14ac:dyDescent="0.35">
      <c r="B35" s="53" t="s">
        <v>101</v>
      </c>
      <c r="C35" s="95">
        <v>790</v>
      </c>
    </row>
    <row r="36" spans="2:3" x14ac:dyDescent="0.35">
      <c r="B36" s="53" t="s">
        <v>102</v>
      </c>
      <c r="C36" s="95">
        <v>940</v>
      </c>
    </row>
    <row r="37" spans="2:3" x14ac:dyDescent="0.35">
      <c r="B37" s="53" t="s">
        <v>103</v>
      </c>
      <c r="C37" s="96">
        <v>1250</v>
      </c>
    </row>
  </sheetData>
  <mergeCells count="10">
    <mergeCell ref="B18:C18"/>
    <mergeCell ref="B19:C19"/>
    <mergeCell ref="B8:C8"/>
    <mergeCell ref="B9:C9"/>
    <mergeCell ref="B10:C10"/>
    <mergeCell ref="B11:C11"/>
    <mergeCell ref="B12:C12"/>
    <mergeCell ref="B16:C16"/>
    <mergeCell ref="B17:C17"/>
    <mergeCell ref="B13:C13"/>
  </mergeCells>
  <pageMargins left="0.7" right="0.7" top="0.78740157499999996" bottom="0.78740157499999996" header="0.3" footer="0.3"/>
  <pageSetup paperSize="9" scale="57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7"/>
  <sheetViews>
    <sheetView topLeftCell="A37" workbookViewId="0">
      <selection activeCell="I13" sqref="I13"/>
    </sheetView>
  </sheetViews>
  <sheetFormatPr baseColWidth="10" defaultRowHeight="14.5" x14ac:dyDescent="0.35"/>
  <cols>
    <col min="1" max="1" width="9.453125" customWidth="1"/>
    <col min="2" max="2" width="26" customWidth="1"/>
    <col min="3" max="3" width="15.26953125" bestFit="1" customWidth="1"/>
    <col min="4" max="4" width="12.81640625" bestFit="1" customWidth="1"/>
    <col min="5" max="5" width="11.54296875" bestFit="1" customWidth="1"/>
    <col min="7" max="7" width="11.54296875" customWidth="1"/>
    <col min="8" max="8" width="7.81640625" customWidth="1"/>
    <col min="9" max="9" width="9.1796875" customWidth="1"/>
    <col min="10" max="10" width="7.81640625" customWidth="1"/>
    <col min="11" max="11" width="7.453125" customWidth="1"/>
  </cols>
  <sheetData>
    <row r="1" spans="1:8" ht="18.5" x14ac:dyDescent="0.45">
      <c r="A1" s="3" t="s">
        <v>104</v>
      </c>
    </row>
    <row r="2" spans="1:8" ht="18.5" x14ac:dyDescent="0.45">
      <c r="A2" s="3"/>
    </row>
    <row r="3" spans="1:8" ht="15.5" x14ac:dyDescent="0.35">
      <c r="B3" s="67" t="s">
        <v>111</v>
      </c>
    </row>
    <row r="4" spans="1:8" s="18" customFormat="1" ht="43.5" x14ac:dyDescent="0.35">
      <c r="C4" s="69" t="s">
        <v>98</v>
      </c>
      <c r="D4" s="69" t="s">
        <v>97</v>
      </c>
      <c r="E4" s="69" t="s">
        <v>158</v>
      </c>
      <c r="F4" s="69" t="s">
        <v>124</v>
      </c>
      <c r="G4" s="69" t="s">
        <v>236</v>
      </c>
      <c r="H4" s="18" t="s">
        <v>34</v>
      </c>
    </row>
    <row r="5" spans="1:8" x14ac:dyDescent="0.35">
      <c r="A5" t="s">
        <v>105</v>
      </c>
      <c r="B5" t="s">
        <v>234</v>
      </c>
      <c r="C5" s="9">
        <f>500+Lohntabelle!D13/2</f>
        <v>1345.5</v>
      </c>
      <c r="D5" s="9">
        <f>C5*14</f>
        <v>18837</v>
      </c>
      <c r="E5" s="9">
        <f>C5/173*2</f>
        <v>15.554913294797688</v>
      </c>
      <c r="F5">
        <f>D30</f>
        <v>1040</v>
      </c>
      <c r="G5">
        <v>936</v>
      </c>
    </row>
    <row r="6" spans="1:8" x14ac:dyDescent="0.35">
      <c r="A6" t="s">
        <v>106</v>
      </c>
      <c r="B6" t="s">
        <v>222</v>
      </c>
      <c r="C6" s="9">
        <f>190+Lohntabelle!D13</f>
        <v>1881</v>
      </c>
      <c r="D6" s="9">
        <f t="shared" ref="D6:D12" si="0">C6*14</f>
        <v>26334</v>
      </c>
      <c r="E6" s="9">
        <f t="shared" ref="E6:E12" si="1">C6/173</f>
        <v>10.872832369942197</v>
      </c>
      <c r="F6">
        <f>E30</f>
        <v>2080</v>
      </c>
      <c r="G6">
        <v>1582</v>
      </c>
    </row>
    <row r="7" spans="1:8" x14ac:dyDescent="0.35">
      <c r="A7" t="s">
        <v>107</v>
      </c>
      <c r="B7" t="s">
        <v>223</v>
      </c>
      <c r="C7" s="9">
        <f>150+Lohntabelle!D13</f>
        <v>1841</v>
      </c>
      <c r="D7" s="9">
        <f t="shared" si="0"/>
        <v>25774</v>
      </c>
      <c r="E7" s="9">
        <f t="shared" si="1"/>
        <v>10.641618497109826</v>
      </c>
      <c r="F7">
        <f>F30</f>
        <v>1976</v>
      </c>
      <c r="G7">
        <v>1580</v>
      </c>
    </row>
    <row r="8" spans="1:8" x14ac:dyDescent="0.35">
      <c r="B8" t="s">
        <v>224</v>
      </c>
      <c r="C8" s="9">
        <f>80+Lohntabelle!D12</f>
        <v>1650</v>
      </c>
      <c r="D8" s="9">
        <f t="shared" si="0"/>
        <v>23100</v>
      </c>
      <c r="E8" s="9">
        <f t="shared" si="1"/>
        <v>9.5375722543352595</v>
      </c>
      <c r="F8">
        <f>G30</f>
        <v>2184</v>
      </c>
      <c r="G8">
        <v>1635</v>
      </c>
    </row>
    <row r="9" spans="1:8" x14ac:dyDescent="0.35">
      <c r="B9" t="s">
        <v>225</v>
      </c>
      <c r="C9" s="9">
        <f>Lohntabelle!D11</f>
        <v>1530</v>
      </c>
      <c r="D9" s="9">
        <f t="shared" si="0"/>
        <v>21420</v>
      </c>
      <c r="E9" s="9">
        <f t="shared" si="1"/>
        <v>8.8439306358381504</v>
      </c>
      <c r="F9">
        <f>H30</f>
        <v>2080</v>
      </c>
      <c r="G9">
        <v>1550</v>
      </c>
    </row>
    <row r="10" spans="1:8" x14ac:dyDescent="0.35">
      <c r="A10" t="s">
        <v>108</v>
      </c>
      <c r="B10" t="s">
        <v>168</v>
      </c>
      <c r="C10" s="9">
        <f>Lohntabelle!D9</f>
        <v>1500</v>
      </c>
      <c r="D10" s="9">
        <f t="shared" si="0"/>
        <v>21000</v>
      </c>
      <c r="E10" s="9">
        <f t="shared" si="1"/>
        <v>8.6705202312138727</v>
      </c>
      <c r="F10">
        <f>I30</f>
        <v>2080</v>
      </c>
      <c r="G10">
        <v>1524</v>
      </c>
    </row>
    <row r="11" spans="1:8" x14ac:dyDescent="0.35">
      <c r="A11" t="s">
        <v>109</v>
      </c>
      <c r="B11" t="s">
        <v>226</v>
      </c>
      <c r="C11" s="9">
        <f>Lohntabelle!D18</f>
        <v>839</v>
      </c>
      <c r="D11" s="9">
        <f t="shared" si="0"/>
        <v>11746</v>
      </c>
      <c r="E11" s="9">
        <f t="shared" si="1"/>
        <v>4.8497109826589595</v>
      </c>
      <c r="F11">
        <f>J30</f>
        <v>2080</v>
      </c>
      <c r="G11">
        <v>152</v>
      </c>
    </row>
    <row r="12" spans="1:8" x14ac:dyDescent="0.35">
      <c r="A12" t="s">
        <v>110</v>
      </c>
      <c r="B12" t="s">
        <v>227</v>
      </c>
      <c r="C12" s="9">
        <f>Lohntabelle!D16</f>
        <v>540</v>
      </c>
      <c r="D12" s="9">
        <f t="shared" si="0"/>
        <v>7560</v>
      </c>
      <c r="E12" s="9">
        <f t="shared" si="1"/>
        <v>3.1213872832369942</v>
      </c>
      <c r="F12">
        <f>K30</f>
        <v>2080</v>
      </c>
      <c r="G12">
        <v>0</v>
      </c>
    </row>
    <row r="13" spans="1:8" ht="15" thickBot="1" x14ac:dyDescent="0.4">
      <c r="D13" s="29">
        <f>SUM(D5:D12)</f>
        <v>155771</v>
      </c>
      <c r="G13">
        <f>SUM(G5:G12)</f>
        <v>8959</v>
      </c>
    </row>
    <row r="14" spans="1:8" ht="15" thickBot="1" x14ac:dyDescent="0.4">
      <c r="B14" s="57" t="s">
        <v>125</v>
      </c>
      <c r="C14" s="58"/>
      <c r="D14" s="59"/>
      <c r="E14" s="58"/>
      <c r="F14" s="58"/>
      <c r="G14" s="62">
        <f>D13/G13</f>
        <v>17.387096774193548</v>
      </c>
    </row>
    <row r="15" spans="1:8" x14ac:dyDescent="0.35">
      <c r="G15" s="9" t="s">
        <v>34</v>
      </c>
    </row>
    <row r="16" spans="1:8" x14ac:dyDescent="0.35">
      <c r="A16" t="s">
        <v>34</v>
      </c>
      <c r="B16" s="68" t="s">
        <v>113</v>
      </c>
    </row>
    <row r="17" spans="1:11" x14ac:dyDescent="0.35">
      <c r="A17" t="s">
        <v>112</v>
      </c>
      <c r="B17" t="s">
        <v>181</v>
      </c>
      <c r="C17" s="9">
        <f>Lohntabelle!C27+300</f>
        <v>2184.9899999999998</v>
      </c>
      <c r="D17" s="9">
        <f>C17*14</f>
        <v>30589.859999999997</v>
      </c>
      <c r="E17" s="9">
        <f>C17/173</f>
        <v>12.629999999999999</v>
      </c>
      <c r="F17">
        <f>52*40</f>
        <v>2080</v>
      </c>
      <c r="G17">
        <v>1600</v>
      </c>
    </row>
    <row r="18" spans="1:11" x14ac:dyDescent="0.35">
      <c r="A18" t="s">
        <v>115</v>
      </c>
      <c r="B18" t="s">
        <v>182</v>
      </c>
      <c r="C18" s="9">
        <f>Lohntabelle!C26+300</f>
        <v>1700</v>
      </c>
      <c r="D18" s="9">
        <f>C18*14</f>
        <v>23800</v>
      </c>
      <c r="E18" s="9">
        <f>C18/173/0.6</f>
        <v>16.377649325626205</v>
      </c>
      <c r="F18">
        <v>2080</v>
      </c>
      <c r="G18">
        <v>1575</v>
      </c>
    </row>
    <row r="19" spans="1:11" ht="15" thickBot="1" x14ac:dyDescent="0.4">
      <c r="D19" s="29">
        <f>SUM(D17:D18)</f>
        <v>54389.86</v>
      </c>
      <c r="G19">
        <f>SUM(G17:G18)</f>
        <v>3175</v>
      </c>
    </row>
    <row r="20" spans="1:11" ht="15" thickBot="1" x14ac:dyDescent="0.4">
      <c r="B20" s="57" t="s">
        <v>125</v>
      </c>
      <c r="C20" s="58"/>
      <c r="D20" s="58"/>
      <c r="E20" s="58"/>
      <c r="F20" s="58"/>
      <c r="G20" s="62">
        <f>D19/G19</f>
        <v>17.130664566929134</v>
      </c>
    </row>
    <row r="22" spans="1:11" x14ac:dyDescent="0.35">
      <c r="B22" s="68" t="s">
        <v>114</v>
      </c>
    </row>
    <row r="23" spans="1:11" x14ac:dyDescent="0.35">
      <c r="A23" t="s">
        <v>116</v>
      </c>
      <c r="B23" t="s">
        <v>183</v>
      </c>
      <c r="C23" s="9">
        <v>3850</v>
      </c>
      <c r="D23" s="9">
        <f>C23*14</f>
        <v>53900</v>
      </c>
      <c r="E23" s="9">
        <f>C23/173</f>
        <v>22.254335260115607</v>
      </c>
      <c r="F23">
        <f>40*52</f>
        <v>2080</v>
      </c>
      <c r="G23">
        <v>1535</v>
      </c>
    </row>
    <row r="24" spans="1:11" x14ac:dyDescent="0.35">
      <c r="A24" t="s">
        <v>117</v>
      </c>
      <c r="B24" t="s">
        <v>184</v>
      </c>
      <c r="C24" s="9">
        <f>Lohntabelle!C27</f>
        <v>1884.99</v>
      </c>
      <c r="D24" s="9">
        <f>C24*14</f>
        <v>26389.86</v>
      </c>
      <c r="E24" s="9">
        <f>C24/4.33/20</f>
        <v>21.766628175519632</v>
      </c>
      <c r="F24">
        <f>40*52</f>
        <v>2080</v>
      </c>
      <c r="G24">
        <f>F24*0.75</f>
        <v>1560</v>
      </c>
    </row>
    <row r="25" spans="1:11" ht="15" thickBot="1" x14ac:dyDescent="0.4">
      <c r="D25" s="29">
        <f>SUM(D23:D24)</f>
        <v>80289.86</v>
      </c>
      <c r="G25">
        <f>SUM(G23:G24)</f>
        <v>3095</v>
      </c>
    </row>
    <row r="26" spans="1:11" ht="15" thickBot="1" x14ac:dyDescent="0.4">
      <c r="B26" s="60" t="s">
        <v>125</v>
      </c>
      <c r="C26" s="61"/>
      <c r="D26" s="61"/>
      <c r="E26" s="61"/>
      <c r="F26" s="61"/>
      <c r="G26" s="62">
        <f>D25/G25</f>
        <v>25.941796445880453</v>
      </c>
    </row>
    <row r="28" spans="1:11" ht="15.5" x14ac:dyDescent="0.35">
      <c r="A28" s="76" t="s">
        <v>159</v>
      </c>
      <c r="B28" s="77"/>
      <c r="C28" s="77"/>
      <c r="D28" s="1" t="s">
        <v>185</v>
      </c>
    </row>
    <row r="29" spans="1:11" ht="15" thickBot="1" x14ac:dyDescent="0.4">
      <c r="D29" s="10" t="s">
        <v>167</v>
      </c>
      <c r="E29" s="71" t="s">
        <v>169</v>
      </c>
      <c r="F29" s="71" t="s">
        <v>170</v>
      </c>
      <c r="G29" s="71" t="s">
        <v>171</v>
      </c>
      <c r="H29" s="75" t="s">
        <v>172</v>
      </c>
      <c r="I29" s="75" t="s">
        <v>173</v>
      </c>
      <c r="J29" s="75" t="s">
        <v>174</v>
      </c>
      <c r="K29" s="75" t="s">
        <v>175</v>
      </c>
    </row>
    <row r="30" spans="1:11" ht="15" thickBot="1" x14ac:dyDescent="0.4">
      <c r="B30" s="70" t="s">
        <v>124</v>
      </c>
      <c r="C30" t="s">
        <v>176</v>
      </c>
      <c r="D30" s="11">
        <f>52*20</f>
        <v>1040</v>
      </c>
      <c r="E30" s="11">
        <f>52*40</f>
        <v>2080</v>
      </c>
      <c r="F30" s="11">
        <f>52*38</f>
        <v>1976</v>
      </c>
      <c r="G30" s="11">
        <f>52*42</f>
        <v>2184</v>
      </c>
      <c r="H30" s="11">
        <f>52*40</f>
        <v>2080</v>
      </c>
      <c r="I30" s="11">
        <f>52*40</f>
        <v>2080</v>
      </c>
      <c r="J30" s="11">
        <f>52*40</f>
        <v>2080</v>
      </c>
      <c r="K30" s="11">
        <f>52*40</f>
        <v>2080</v>
      </c>
    </row>
    <row r="31" spans="1:11" x14ac:dyDescent="0.35">
      <c r="B31" s="8" t="s">
        <v>178</v>
      </c>
      <c r="C31" t="s">
        <v>176</v>
      </c>
      <c r="D31" s="11">
        <f>5*40</f>
        <v>200</v>
      </c>
      <c r="E31" s="11">
        <f>5*40</f>
        <v>200</v>
      </c>
      <c r="F31" s="11">
        <f>5*38</f>
        <v>190</v>
      </c>
      <c r="G31" s="11">
        <f>5*42</f>
        <v>210</v>
      </c>
      <c r="H31" s="11">
        <f>5*40</f>
        <v>200</v>
      </c>
      <c r="I31" s="11">
        <f t="shared" ref="I31:K31" si="2">5*40</f>
        <v>200</v>
      </c>
      <c r="J31" s="11">
        <f t="shared" si="2"/>
        <v>200</v>
      </c>
      <c r="K31" s="11">
        <f t="shared" si="2"/>
        <v>200</v>
      </c>
    </row>
    <row r="32" spans="1:11" x14ac:dyDescent="0.35">
      <c r="B32" s="8" t="s">
        <v>179</v>
      </c>
      <c r="C32" t="s">
        <v>176</v>
      </c>
      <c r="D32" s="11">
        <f>20/5*13</f>
        <v>52</v>
      </c>
      <c r="E32" s="11">
        <f>40*13/5</f>
        <v>104</v>
      </c>
      <c r="F32" s="11">
        <f>38/5*13</f>
        <v>98.8</v>
      </c>
      <c r="G32" s="11">
        <f>42/5*13</f>
        <v>109.2</v>
      </c>
      <c r="H32" s="11">
        <f>40/5*13</f>
        <v>104</v>
      </c>
      <c r="I32" s="11">
        <f t="shared" ref="I32:K32" si="3">40/5*13</f>
        <v>104</v>
      </c>
      <c r="J32" s="11">
        <f t="shared" si="3"/>
        <v>104</v>
      </c>
      <c r="K32" s="11">
        <f t="shared" si="3"/>
        <v>104</v>
      </c>
    </row>
    <row r="33" spans="2:11" x14ac:dyDescent="0.35">
      <c r="B33" s="8" t="s">
        <v>180</v>
      </c>
      <c r="C33" t="s">
        <v>176</v>
      </c>
      <c r="D33" s="11">
        <v>0</v>
      </c>
      <c r="E33" s="11">
        <f>8*16</f>
        <v>128</v>
      </c>
      <c r="F33" s="11">
        <f>38/5*2</f>
        <v>15.2</v>
      </c>
      <c r="G33" s="11">
        <f>42/5*15</f>
        <v>126</v>
      </c>
      <c r="H33" s="11">
        <f>40/8*12</f>
        <v>60</v>
      </c>
      <c r="I33" s="11">
        <f>40/8*6</f>
        <v>30</v>
      </c>
      <c r="J33" s="11">
        <f>40/8*20</f>
        <v>100</v>
      </c>
      <c r="K33" s="11">
        <f>40/8*18</f>
        <v>90</v>
      </c>
    </row>
    <row r="34" spans="2:11" ht="29" x14ac:dyDescent="0.35">
      <c r="B34" s="18" t="s">
        <v>177</v>
      </c>
      <c r="C34" t="s">
        <v>176</v>
      </c>
      <c r="D34" s="11">
        <v>20</v>
      </c>
      <c r="E34" s="11">
        <f>40/5*3</f>
        <v>24</v>
      </c>
      <c r="F34" s="11">
        <f>38/5*6</f>
        <v>45.599999999999994</v>
      </c>
      <c r="G34" s="11">
        <f>42/5*1</f>
        <v>8.4</v>
      </c>
      <c r="H34" s="11">
        <f>40/5*2</f>
        <v>16</v>
      </c>
      <c r="I34" s="11">
        <f>40/5*3</f>
        <v>24</v>
      </c>
      <c r="J34" s="11">
        <f>40/5*10</f>
        <v>80</v>
      </c>
      <c r="K34" s="11">
        <f>40/5*10</f>
        <v>80</v>
      </c>
    </row>
    <row r="35" spans="2:11" x14ac:dyDescent="0.35">
      <c r="B35" s="8" t="s">
        <v>34</v>
      </c>
      <c r="C35" t="s">
        <v>176</v>
      </c>
      <c r="D35" s="11"/>
      <c r="E35" s="11" t="s">
        <v>34</v>
      </c>
      <c r="F35" s="11" t="s">
        <v>34</v>
      </c>
      <c r="G35" s="11" t="s">
        <v>34</v>
      </c>
      <c r="H35" s="11"/>
      <c r="I35" s="11"/>
      <c r="J35" s="11"/>
      <c r="K35" s="11"/>
    </row>
    <row r="36" spans="2:11" x14ac:dyDescent="0.35">
      <c r="B36" s="8" t="s">
        <v>160</v>
      </c>
      <c r="C36" t="s">
        <v>176</v>
      </c>
      <c r="D36" s="11">
        <f>D30-D31-D32-D33-D34-D35</f>
        <v>768</v>
      </c>
      <c r="E36" s="11">
        <f>E30-E31-E32-E33-E34</f>
        <v>1624</v>
      </c>
      <c r="F36" s="11">
        <f t="shared" ref="F36:G36" si="4">F30-F31-F32-F33-F34</f>
        <v>1626.4</v>
      </c>
      <c r="G36" s="11">
        <f t="shared" si="4"/>
        <v>1730.3999999999999</v>
      </c>
      <c r="H36" s="11">
        <f>H30-H31-H32-H33-H34</f>
        <v>1700</v>
      </c>
      <c r="I36" s="11">
        <f t="shared" ref="I36:K36" si="5">I30-I31-I32-I33-I34</f>
        <v>1722</v>
      </c>
      <c r="J36" s="11">
        <f t="shared" si="5"/>
        <v>1596</v>
      </c>
      <c r="K36" s="11">
        <f t="shared" si="5"/>
        <v>1606</v>
      </c>
    </row>
    <row r="37" spans="2:11" ht="58" x14ac:dyDescent="0.35">
      <c r="B37" s="18" t="s">
        <v>221</v>
      </c>
      <c r="C37" t="s">
        <v>176</v>
      </c>
      <c r="D37" s="11">
        <f>D36-D38</f>
        <v>8</v>
      </c>
      <c r="E37" s="11">
        <f>E36-E38</f>
        <v>42</v>
      </c>
      <c r="F37" s="11">
        <f>F36-F38</f>
        <v>46.400000000000091</v>
      </c>
      <c r="G37" s="11">
        <f>G36-G38</f>
        <v>95.399999999999864</v>
      </c>
      <c r="H37" s="11">
        <f>H36-H38</f>
        <v>150</v>
      </c>
      <c r="I37" s="11">
        <f t="shared" ref="I37:K37" si="6">I36-I38</f>
        <v>198</v>
      </c>
      <c r="J37" s="11">
        <f t="shared" si="6"/>
        <v>1444</v>
      </c>
      <c r="K37" s="11">
        <f t="shared" si="6"/>
        <v>1606</v>
      </c>
    </row>
    <row r="38" spans="2:11" x14ac:dyDescent="0.35">
      <c r="B38" s="101" t="s">
        <v>220</v>
      </c>
      <c r="D38" s="72">
        <v>760</v>
      </c>
      <c r="E38" s="72">
        <f>G6</f>
        <v>1582</v>
      </c>
      <c r="F38" s="72">
        <f>G7</f>
        <v>1580</v>
      </c>
      <c r="G38" s="72">
        <f>G8</f>
        <v>1635</v>
      </c>
      <c r="H38" s="72">
        <f>G9</f>
        <v>1550</v>
      </c>
      <c r="I38" s="72">
        <f>G10</f>
        <v>1524</v>
      </c>
      <c r="J38" s="72">
        <f>G11</f>
        <v>152</v>
      </c>
      <c r="K38" s="72">
        <f>G12</f>
        <v>0</v>
      </c>
    </row>
    <row r="39" spans="2:11" x14ac:dyDescent="0.35">
      <c r="B39" s="8"/>
    </row>
    <row r="40" spans="2:11" x14ac:dyDescent="0.35">
      <c r="B40" s="8"/>
    </row>
    <row r="41" spans="2:11" x14ac:dyDescent="0.35">
      <c r="B41" s="8"/>
    </row>
    <row r="42" spans="2:11" x14ac:dyDescent="0.35">
      <c r="B42" s="1" t="s">
        <v>231</v>
      </c>
    </row>
    <row r="43" spans="2:11" x14ac:dyDescent="0.35">
      <c r="B43" s="11" t="s">
        <v>44</v>
      </c>
      <c r="C43" s="14">
        <f>D13*0.76</f>
        <v>118385.96</v>
      </c>
      <c r="D43" s="115">
        <f>C43/C47</f>
        <v>0.40759396292768707</v>
      </c>
    </row>
    <row r="44" spans="2:11" x14ac:dyDescent="0.35">
      <c r="B44" s="11" t="s">
        <v>45</v>
      </c>
      <c r="C44" s="14">
        <f>D13*0.24</f>
        <v>37385.040000000001</v>
      </c>
      <c r="D44" s="115">
        <f>C44/C47</f>
        <v>0.12871388302979592</v>
      </c>
    </row>
    <row r="45" spans="2:11" x14ac:dyDescent="0.35">
      <c r="B45" s="11" t="s">
        <v>70</v>
      </c>
      <c r="C45" s="14">
        <f>D19</f>
        <v>54389.86</v>
      </c>
      <c r="D45" s="115">
        <f>C45/C47</f>
        <v>0.1872602002845784</v>
      </c>
    </row>
    <row r="46" spans="2:11" x14ac:dyDescent="0.35">
      <c r="B46" s="11" t="s">
        <v>71</v>
      </c>
      <c r="C46" s="14">
        <f>D25</f>
        <v>80289.86</v>
      </c>
      <c r="D46" s="115">
        <f>C46/C47</f>
        <v>0.27643195375793872</v>
      </c>
    </row>
    <row r="47" spans="2:11" x14ac:dyDescent="0.35">
      <c r="B47" s="11"/>
      <c r="C47" s="14">
        <f>SUM(C43:C46)</f>
        <v>290450.71999999997</v>
      </c>
      <c r="D47" s="116">
        <f>SUM(D43:D46)</f>
        <v>1.0000000000000002</v>
      </c>
    </row>
  </sheetData>
  <pageMargins left="0.7" right="0.7" top="0.78740157499999996" bottom="0.78740157499999996" header="0.3" footer="0.3"/>
  <pageSetup paperSize="9" scale="61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5"/>
  <sheetViews>
    <sheetView tabSelected="1" workbookViewId="0">
      <selection activeCell="H13" sqref="H13"/>
    </sheetView>
  </sheetViews>
  <sheetFormatPr baseColWidth="10" defaultRowHeight="14.5" x14ac:dyDescent="0.35"/>
  <cols>
    <col min="1" max="1" width="21.1796875" customWidth="1"/>
    <col min="4" max="4" width="25" customWidth="1"/>
    <col min="5" max="6" width="10" customWidth="1"/>
    <col min="7" max="7" width="12.54296875" bestFit="1" customWidth="1"/>
  </cols>
  <sheetData>
    <row r="1" spans="1:8" ht="21" x14ac:dyDescent="0.5">
      <c r="A1" s="4" t="s">
        <v>138</v>
      </c>
    </row>
    <row r="2" spans="1:8" ht="15" thickBot="1" x14ac:dyDescent="0.4"/>
    <row r="3" spans="1:8" ht="37.5" thickBot="1" x14ac:dyDescent="0.5">
      <c r="A3" s="66" t="s">
        <v>139</v>
      </c>
      <c r="B3" s="63"/>
    </row>
    <row r="4" spans="1:8" s="18" customFormat="1" ht="44.5" x14ac:dyDescent="0.45">
      <c r="A4" s="64" t="s">
        <v>140</v>
      </c>
      <c r="B4" s="135">
        <v>1</v>
      </c>
      <c r="D4" s="131" t="s">
        <v>148</v>
      </c>
      <c r="E4" s="132" t="s">
        <v>155</v>
      </c>
      <c r="F4" s="132" t="s">
        <v>156</v>
      </c>
      <c r="G4" s="132" t="s">
        <v>151</v>
      </c>
      <c r="H4" s="133" t="s">
        <v>123</v>
      </c>
    </row>
    <row r="5" spans="1:8" x14ac:dyDescent="0.35">
      <c r="A5" s="64" t="s">
        <v>141</v>
      </c>
      <c r="B5" s="84">
        <f>Kostenstellenrechnung!D39</f>
        <v>0.5049769106741907</v>
      </c>
      <c r="D5" s="11" t="s">
        <v>149</v>
      </c>
      <c r="E5" s="14">
        <v>1.92</v>
      </c>
      <c r="F5" s="110">
        <f>B11</f>
        <v>1.8420917386652096</v>
      </c>
      <c r="G5" s="14">
        <f>E5*F5</f>
        <v>3.5368161382372021</v>
      </c>
      <c r="H5" s="134">
        <v>3.89</v>
      </c>
    </row>
    <row r="6" spans="1:8" x14ac:dyDescent="0.35">
      <c r="A6" s="64" t="s">
        <v>142</v>
      </c>
      <c r="B6" s="117">
        <f>B4+B4*B5</f>
        <v>1.5049769106741908</v>
      </c>
      <c r="D6" s="11" t="s">
        <v>150</v>
      </c>
      <c r="E6" s="14">
        <v>2.34</v>
      </c>
      <c r="F6" s="110">
        <f>B11</f>
        <v>1.8420917386652096</v>
      </c>
      <c r="G6" s="14">
        <f t="shared" ref="G6:G12" si="0">E6*F6</f>
        <v>4.3104946684765899</v>
      </c>
      <c r="H6" s="134">
        <v>4.6900000000000004</v>
      </c>
    </row>
    <row r="7" spans="1:8" x14ac:dyDescent="0.35">
      <c r="A7" s="64" t="s">
        <v>143</v>
      </c>
      <c r="B7" s="117">
        <f>B6*0.02</f>
        <v>3.0099538213483816E-2</v>
      </c>
      <c r="D7" s="11" t="s">
        <v>152</v>
      </c>
      <c r="E7" s="14">
        <v>8.69</v>
      </c>
      <c r="F7" s="110">
        <f>B11</f>
        <v>1.8420917386652096</v>
      </c>
      <c r="G7" s="14">
        <f t="shared" si="0"/>
        <v>16.007777209000672</v>
      </c>
      <c r="H7" s="134">
        <v>16.989999999999998</v>
      </c>
    </row>
    <row r="8" spans="1:8" x14ac:dyDescent="0.35">
      <c r="A8" s="64" t="s">
        <v>146</v>
      </c>
      <c r="B8" s="117">
        <f>B6+B7</f>
        <v>1.5350764488876747</v>
      </c>
      <c r="D8" s="11" t="s">
        <v>153</v>
      </c>
      <c r="E8" s="14">
        <v>7.21</v>
      </c>
      <c r="F8" s="110">
        <f>B11</f>
        <v>1.8420917386652096</v>
      </c>
      <c r="G8" s="14">
        <f t="shared" si="0"/>
        <v>13.281481435776161</v>
      </c>
      <c r="H8" s="134">
        <v>14.49</v>
      </c>
    </row>
    <row r="9" spans="1:8" x14ac:dyDescent="0.35">
      <c r="A9" s="64" t="s">
        <v>144</v>
      </c>
      <c r="B9" s="117">
        <f>B8*0.2</f>
        <v>0.30701528977753495</v>
      </c>
      <c r="D9" s="11" t="s">
        <v>154</v>
      </c>
      <c r="E9" s="14">
        <v>5.89</v>
      </c>
      <c r="F9" s="110">
        <f>B11</f>
        <v>1.8420917386652096</v>
      </c>
      <c r="G9" s="14">
        <f t="shared" si="0"/>
        <v>10.849920340738084</v>
      </c>
      <c r="H9" s="134">
        <v>11.99</v>
      </c>
    </row>
    <row r="10" spans="1:8" x14ac:dyDescent="0.35">
      <c r="A10" s="64" t="s">
        <v>145</v>
      </c>
      <c r="B10" s="117">
        <f>B8+B9</f>
        <v>1.8420917386652096</v>
      </c>
      <c r="D10" s="11" t="s">
        <v>201</v>
      </c>
      <c r="E10" s="14">
        <v>6.45</v>
      </c>
      <c r="F10" s="110">
        <f>B11</f>
        <v>1.8420917386652096</v>
      </c>
      <c r="G10" s="14">
        <f t="shared" si="0"/>
        <v>11.881491714390602</v>
      </c>
      <c r="H10" s="134">
        <v>12.99</v>
      </c>
    </row>
    <row r="11" spans="1:8" ht="15" thickBot="1" x14ac:dyDescent="0.4">
      <c r="A11" s="65" t="s">
        <v>147</v>
      </c>
      <c r="B11" s="136">
        <f>B10</f>
        <v>1.8420917386652096</v>
      </c>
      <c r="D11" s="11" t="s">
        <v>202</v>
      </c>
      <c r="E11" s="14">
        <v>4.78</v>
      </c>
      <c r="F11" s="110">
        <f>B11</f>
        <v>1.8420917386652096</v>
      </c>
      <c r="G11" s="14">
        <f t="shared" si="0"/>
        <v>8.805198510819702</v>
      </c>
      <c r="H11" s="134">
        <v>9.49</v>
      </c>
    </row>
    <row r="12" spans="1:8" x14ac:dyDescent="0.35">
      <c r="A12" s="18"/>
      <c r="D12" s="140" t="s">
        <v>259</v>
      </c>
      <c r="E12" s="141">
        <v>7.24</v>
      </c>
      <c r="F12" s="43">
        <f>F11</f>
        <v>1.8420917386652096</v>
      </c>
      <c r="G12" s="14">
        <f t="shared" si="0"/>
        <v>13.336744187936118</v>
      </c>
      <c r="H12" s="142">
        <v>13.59</v>
      </c>
    </row>
    <row r="13" spans="1:8" x14ac:dyDescent="0.35">
      <c r="A13" s="18"/>
    </row>
    <row r="14" spans="1:8" x14ac:dyDescent="0.35">
      <c r="A14" s="18"/>
    </row>
    <row r="15" spans="1:8" x14ac:dyDescent="0.35">
      <c r="A15" s="18"/>
    </row>
  </sheetData>
  <pageMargins left="0.7" right="0.7" top="0.78740157499999996" bottom="0.78740157499999996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Angabe Kostenermittlung</vt:lpstr>
      <vt:lpstr>Kostenrechnung</vt:lpstr>
      <vt:lpstr>Kostenstellenrechnung</vt:lpstr>
      <vt:lpstr>Kalkulation der Leistungen</vt:lpstr>
      <vt:lpstr>Lohntabelle</vt:lpstr>
      <vt:lpstr>Kalkuliertes Team</vt:lpstr>
      <vt:lpstr>Kalkulation von Handelswaren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Stopper, Mag. Sonja</cp:lastModifiedBy>
  <cp:lastPrinted>2019-08-28T09:37:22Z</cp:lastPrinted>
  <dcterms:created xsi:type="dcterms:W3CDTF">2017-03-01T07:44:04Z</dcterms:created>
  <dcterms:modified xsi:type="dcterms:W3CDTF">2019-08-28T09:43:56Z</dcterms:modified>
</cp:coreProperties>
</file>