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kumente\ÖBV-Schulbuchverlag\AWL Lehrbuch Gewerbe\Branchenspezifische Kapitel\Gastronomie\Lehrwerk online\"/>
    </mc:Choice>
  </mc:AlternateContent>
  <bookViews>
    <workbookView xWindow="0" yWindow="0" windowWidth="25200" windowHeight="11985" activeTab="2"/>
  </bookViews>
  <sheets>
    <sheet name="Speisen" sheetId="1" r:id="rId1"/>
    <sheet name="Speisen Bedarfsermittlung" sheetId="3" r:id="rId2"/>
    <sheet name="Getränk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3" l="1"/>
  <c r="F26" i="3"/>
  <c r="F24" i="3"/>
  <c r="F23" i="3"/>
  <c r="F22" i="3"/>
  <c r="F21" i="3"/>
  <c r="F20" i="3"/>
  <c r="F19" i="3"/>
  <c r="F18" i="3"/>
  <c r="C24" i="3"/>
  <c r="C23" i="3"/>
  <c r="C22" i="3"/>
  <c r="C21" i="3"/>
  <c r="C20" i="3"/>
  <c r="C19" i="3"/>
  <c r="C18" i="3"/>
  <c r="C10" i="3"/>
  <c r="F14" i="3"/>
  <c r="F12" i="3"/>
  <c r="F11" i="3"/>
  <c r="F10" i="3"/>
  <c r="F9" i="3"/>
  <c r="F8" i="3"/>
  <c r="F7" i="3"/>
  <c r="F6" i="3"/>
  <c r="F5" i="3"/>
  <c r="F4" i="3"/>
  <c r="C6" i="3"/>
  <c r="C8" i="3" s="1"/>
  <c r="C5" i="3"/>
  <c r="C4" i="3"/>
  <c r="F44" i="2"/>
  <c r="F42" i="2"/>
  <c r="F41" i="2"/>
  <c r="F40" i="2"/>
  <c r="F39" i="2"/>
  <c r="B39" i="2"/>
  <c r="F38" i="2"/>
  <c r="B38" i="2"/>
  <c r="F37" i="2"/>
  <c r="F36" i="2"/>
  <c r="B36" i="2"/>
  <c r="F35" i="2"/>
  <c r="B35" i="2"/>
  <c r="F34" i="2"/>
  <c r="B34" i="2"/>
  <c r="F28" i="2"/>
  <c r="F26" i="2"/>
  <c r="F25" i="2"/>
  <c r="F24" i="2"/>
  <c r="F23" i="2"/>
  <c r="F22" i="2"/>
  <c r="F21" i="2"/>
  <c r="F20" i="2"/>
  <c r="B23" i="2"/>
  <c r="B22" i="2"/>
  <c r="B20" i="2"/>
  <c r="F19" i="2"/>
  <c r="B19" i="2"/>
  <c r="F18" i="2"/>
  <c r="B18" i="2"/>
  <c r="F12" i="2"/>
  <c r="F10" i="2"/>
  <c r="F9" i="2"/>
  <c r="F8" i="2"/>
  <c r="F7" i="2"/>
  <c r="F6" i="2"/>
  <c r="F5" i="2"/>
  <c r="B9" i="2"/>
  <c r="B8" i="2"/>
  <c r="B6" i="2"/>
  <c r="B5" i="2"/>
  <c r="B4" i="2"/>
  <c r="F4" i="2"/>
  <c r="B36" i="1"/>
  <c r="F35" i="1"/>
  <c r="F36" i="1" s="1"/>
  <c r="B35" i="1"/>
  <c r="B37" i="1" s="1"/>
  <c r="F20" i="1"/>
  <c r="F21" i="1" s="1"/>
  <c r="F4" i="1"/>
  <c r="F5" i="1" s="1"/>
  <c r="B21" i="1"/>
  <c r="B22" i="1" s="1"/>
  <c r="B5" i="1"/>
  <c r="B6" i="1" s="1"/>
  <c r="B7" i="1" s="1"/>
  <c r="C7" i="3" l="1"/>
  <c r="B38" i="1"/>
  <c r="B39" i="1" s="1"/>
  <c r="B41" i="1" s="1"/>
  <c r="B42" i="1" s="1"/>
  <c r="F37" i="1"/>
  <c r="B23" i="1"/>
  <c r="B24" i="1" s="1"/>
  <c r="B26" i="1" s="1"/>
  <c r="B27" i="1" s="1"/>
  <c r="B8" i="1"/>
  <c r="B10" i="1" s="1"/>
  <c r="B11" i="1" s="1"/>
  <c r="F6" i="1"/>
  <c r="F22" i="1"/>
  <c r="F23" i="1" s="1"/>
  <c r="F24" i="1" s="1"/>
  <c r="F38" i="1" l="1"/>
  <c r="F39" i="1"/>
  <c r="F25" i="1"/>
  <c r="F26" i="1" s="1"/>
  <c r="F27" i="1" s="1"/>
  <c r="F28" i="1" s="1"/>
  <c r="F30" i="1" s="1"/>
  <c r="F7" i="1"/>
  <c r="F8" i="1" s="1"/>
  <c r="F40" i="1" l="1"/>
  <c r="F41" i="1" s="1"/>
  <c r="F9" i="1"/>
  <c r="F10" i="1" s="1"/>
  <c r="F42" i="1" l="1"/>
  <c r="F43" i="1" s="1"/>
  <c r="F45" i="1" s="1"/>
  <c r="F11" i="1"/>
  <c r="F12" i="1" s="1"/>
  <c r="F14" i="1" s="1"/>
</calcChain>
</file>

<file path=xl/sharedStrings.xml><?xml version="1.0" encoding="utf-8"?>
<sst xmlns="http://schemas.openxmlformats.org/spreadsheetml/2006/main" count="232" uniqueCount="142">
  <si>
    <t>Mengenberechnung</t>
  </si>
  <si>
    <t>Wertberechnung</t>
  </si>
  <si>
    <t>Euro</t>
  </si>
  <si>
    <t>Rohmenge</t>
  </si>
  <si>
    <t>- 8 % Schnittverlust</t>
  </si>
  <si>
    <t>=Verwertbare Menge</t>
  </si>
  <si>
    <t>- 25 % Garverlust</t>
  </si>
  <si>
    <t>= Fertige Menge</t>
  </si>
  <si>
    <t>: Portionsgröße</t>
  </si>
  <si>
    <t>= Zahl der Portionen</t>
  </si>
  <si>
    <t>Ganze Portionen</t>
  </si>
  <si>
    <t>Listenpreis</t>
  </si>
  <si>
    <t>Rechengang</t>
  </si>
  <si>
    <t>- 10 % Umsatzsteuer</t>
  </si>
  <si>
    <t>=Listenpreis ohne Ust.</t>
  </si>
  <si>
    <t>- 5 % Rabatt</t>
  </si>
  <si>
    <t>= Nettopreis</t>
  </si>
  <si>
    <t>- 2 % Skonto</t>
  </si>
  <si>
    <t>= Barpreis</t>
  </si>
  <si>
    <t>Lösung: Aufgabe 1 Schweinsbraten</t>
  </si>
  <si>
    <t xml:space="preserve">Einstandspreis einer Portion </t>
  </si>
  <si>
    <t>=</t>
  </si>
  <si>
    <t>Lösung Aufgabe 2 Rindsschnitzel</t>
  </si>
  <si>
    <t>Rechnungsbetrag</t>
  </si>
  <si>
    <t>- 7 % Schnittverlust</t>
  </si>
  <si>
    <t>= Listenpreis ohne Ust.</t>
  </si>
  <si>
    <t>-22 % Garverlust</t>
  </si>
  <si>
    <t>= Ganze Portionen</t>
  </si>
  <si>
    <t>+ 2 % Bezugsspesen</t>
  </si>
  <si>
    <t>= Einstandspreis gesamt</t>
  </si>
  <si>
    <t>- 4 % Rabatt</t>
  </si>
  <si>
    <t>Einstandspreis einer Portion</t>
  </si>
  <si>
    <t>Einstandspreis/Ganze Portionen</t>
  </si>
  <si>
    <t>+ 3 % Bezugsspesen</t>
  </si>
  <si>
    <t>= Einstandspreis</t>
  </si>
  <si>
    <t>=6,90 x 3,65</t>
  </si>
  <si>
    <t>- 3 % Skonto</t>
  </si>
  <si>
    <t>8,90 x 9,20</t>
  </si>
  <si>
    <t>=81,88 x 10/110</t>
  </si>
  <si>
    <t>=74,44 x 4/100</t>
  </si>
  <si>
    <t>=71,46 x 3/100</t>
  </si>
  <si>
    <t>=70,03 x 2/100</t>
  </si>
  <si>
    <t>=22,90 x 5/100</t>
  </si>
  <si>
    <t>=21,75 x 2/100</t>
  </si>
  <si>
    <t>21,32 x 3/100</t>
  </si>
  <si>
    <t>=25,19 x 10/110</t>
  </si>
  <si>
    <t>Kilo-gramm</t>
  </si>
  <si>
    <t>Lösung Aufgabe 3: Spargel</t>
  </si>
  <si>
    <t>3 x 20</t>
  </si>
  <si>
    <t>- 15 % Schnittverlust</t>
  </si>
  <si>
    <t>60 x 10 / 110</t>
  </si>
  <si>
    <t>= Verwertbare Menge</t>
  </si>
  <si>
    <t>-8 % Garverlust</t>
  </si>
  <si>
    <t>-15 % Rabatt</t>
  </si>
  <si>
    <t>54,55 x 15 /100</t>
  </si>
  <si>
    <t>=Fertige Menge</t>
  </si>
  <si>
    <t>46,36 x 2 /100</t>
  </si>
  <si>
    <t>Zahl der Portionen</t>
  </si>
  <si>
    <t>45,44 x 3/100</t>
  </si>
  <si>
    <t>Einstandspreis/Portionen</t>
  </si>
  <si>
    <t>Lösung Aufgabe 4: Chateauneuf du Pape</t>
  </si>
  <si>
    <t>Liter</t>
  </si>
  <si>
    <t>Gesamtmenge</t>
  </si>
  <si>
    <t>72 x 9,20</t>
  </si>
  <si>
    <t>- 7 % Schankverlsut</t>
  </si>
  <si>
    <t>= verwertbare Menge</t>
  </si>
  <si>
    <t>Portionen</t>
  </si>
  <si>
    <t>-30 % Rabatt</t>
  </si>
  <si>
    <t>662,40 x 30 /100</t>
  </si>
  <si>
    <t>463,68 x 2 /100</t>
  </si>
  <si>
    <t>+ 8 % Bezugsspesen</t>
  </si>
  <si>
    <t>454,41 x 8/100</t>
  </si>
  <si>
    <t>Einstandspreis für 1 Achtel</t>
  </si>
  <si>
    <t>Einstandspreis : Portionen</t>
  </si>
  <si>
    <t>Lösung Aufgabe 5: Wachauer Rheinriesling Smaragd</t>
  </si>
  <si>
    <t>144 x 8,25</t>
  </si>
  <si>
    <t>-8 % Schankverlust</t>
  </si>
  <si>
    <t>- 20 % Umsatzsteuer</t>
  </si>
  <si>
    <t>1188 x 20/120</t>
  </si>
  <si>
    <t xml:space="preserve">= Preis ohne Ust. </t>
  </si>
  <si>
    <t>- 20 % Rabatt</t>
  </si>
  <si>
    <t>990 x 20 /100</t>
  </si>
  <si>
    <t>792 x 3 /100</t>
  </si>
  <si>
    <t>+ 1 % Bezugsspesen</t>
  </si>
  <si>
    <t>768,24 x 1/100</t>
  </si>
  <si>
    <t>Lösung Aufgabe 6: Wodka</t>
  </si>
  <si>
    <t>6 x 16,80</t>
  </si>
  <si>
    <t>- 12 % Schankverlust</t>
  </si>
  <si>
    <t>100,80 x 20/120</t>
  </si>
  <si>
    <t>= Preis ohne Ust.</t>
  </si>
  <si>
    <t>- 16 % Rabatt</t>
  </si>
  <si>
    <t>84 x 16 / 100</t>
  </si>
  <si>
    <t>-2 % Skonto</t>
  </si>
  <si>
    <t>70,56 x 2 /100</t>
  </si>
  <si>
    <t>+ 2,5 % Bezugsspesen</t>
  </si>
  <si>
    <t>69,15 x 2,5/100</t>
  </si>
  <si>
    <t>Einstandspreis für 1 Stamperl</t>
  </si>
  <si>
    <t>Lösung Aufgabe 7: Wiener Schnitzl mit Bedarfsermittlung</t>
  </si>
  <si>
    <t>Materialberechnung</t>
  </si>
  <si>
    <t>Menge in kg</t>
  </si>
  <si>
    <t>Preis</t>
  </si>
  <si>
    <t>50 x 0,16</t>
  </si>
  <si>
    <t>+ Garverlust (in Hundert)</t>
  </si>
  <si>
    <t>Netto Portionsmenge</t>
  </si>
  <si>
    <t>Verwertbare Menge</t>
  </si>
  <si>
    <t>8 x 100 : (100-25)</t>
  </si>
  <si>
    <t>8 x 25 : (100-25)</t>
  </si>
  <si>
    <t>+ Schnittverlust (in Hundert)</t>
  </si>
  <si>
    <t>10,67 x 8 : (100 -8)</t>
  </si>
  <si>
    <t>= Rohmenge</t>
  </si>
  <si>
    <t>10,68 x 100 : (100-8)</t>
  </si>
  <si>
    <t>Gerundete Rohmenge</t>
  </si>
  <si>
    <t>-10 % Umsatzsteuer</t>
  </si>
  <si>
    <t>-10 % Rabatt</t>
  </si>
  <si>
    <t>=Barpreis</t>
  </si>
  <si>
    <t>Zahl der Portionen laut Angabe</t>
  </si>
  <si>
    <t>Einstandspreis pro Portion</t>
  </si>
  <si>
    <t>11,6 kg x € 7,90</t>
  </si>
  <si>
    <t>Rechnungsbetrag:</t>
  </si>
  <si>
    <t>5 junge Hühner à 1,2 kg</t>
  </si>
  <si>
    <t>1/8 Liter Öl</t>
  </si>
  <si>
    <t>€ 0,88 pro Liter.</t>
  </si>
  <si>
    <t>100g Zwiebeln</t>
  </si>
  <si>
    <t>€ 0,82  pro kg</t>
  </si>
  <si>
    <t>500 g Champignons</t>
  </si>
  <si>
    <t>€ 3,46 pro kg</t>
  </si>
  <si>
    <t>1/8 l Weißwein</t>
  </si>
  <si>
    <t>€ 1,12 pro Liter</t>
  </si>
  <si>
    <t>1/16 l Weinbrand</t>
  </si>
  <si>
    <t>€ 12,45 pro Liter</t>
  </si>
  <si>
    <t>½ l Sauce ( brauner Fond)</t>
  </si>
  <si>
    <t>€ 0,44 pro Liter</t>
  </si>
  <si>
    <t>Estragon, Kerbel, Petersilie pauschal</t>
  </si>
  <si>
    <t>€ 0,30 pauschal.</t>
  </si>
  <si>
    <t xml:space="preserve">€ 3,18 pro kg </t>
  </si>
  <si>
    <t>Einstandspreis für 10 Portionen</t>
  </si>
  <si>
    <t>Einstandspreis für 1 Portion</t>
  </si>
  <si>
    <t>Lösung Aufgabe 8</t>
  </si>
  <si>
    <t>Einstandspreis für ein Menü</t>
  </si>
  <si>
    <t>Preis laut Angabe</t>
  </si>
  <si>
    <t xml:space="preserve">Zutaten: </t>
  </si>
  <si>
    <t>Einstandsprreis/Zahl der Portionen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</si>
</sst>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[$€-C07]\ * #,##0.00_-;\-[$€-C07]\ * #,##0.00_-;_-[$€-C07]\ * &quot;-&quot;??_-;_-@_-"/>
    <numFmt numFmtId="166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0" fillId="0" borderId="1" xfId="0" applyBorder="1"/>
    <xf numFmtId="49" fontId="3" fillId="0" borderId="1" xfId="0" applyNumberFormat="1" applyFont="1" applyBorder="1"/>
    <xf numFmtId="49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1" fontId="3" fillId="0" borderId="1" xfId="0" applyNumberFormat="1" applyFont="1" applyBorder="1"/>
    <xf numFmtId="1" fontId="3" fillId="2" borderId="1" xfId="0" applyNumberFormat="1" applyFont="1" applyFill="1" applyBorder="1"/>
    <xf numFmtId="49" fontId="0" fillId="0" borderId="2" xfId="0" applyNumberFormat="1" applyBorder="1"/>
    <xf numFmtId="0" fontId="0" fillId="0" borderId="2" xfId="0" applyBorder="1"/>
    <xf numFmtId="165" fontId="0" fillId="0" borderId="2" xfId="0" applyNumberFormat="1" applyBorder="1"/>
    <xf numFmtId="49" fontId="0" fillId="0" borderId="0" xfId="0" applyNumberFormat="1" applyBorder="1"/>
    <xf numFmtId="0" fontId="0" fillId="0" borderId="0" xfId="0" applyBorder="1"/>
    <xf numFmtId="165" fontId="0" fillId="0" borderId="0" xfId="0" applyNumberFormat="1" applyBorder="1"/>
    <xf numFmtId="49" fontId="3" fillId="0" borderId="0" xfId="0" applyNumberFormat="1" applyFont="1" applyBorder="1"/>
    <xf numFmtId="49" fontId="3" fillId="2" borderId="3" xfId="0" applyNumberFormat="1" applyFont="1" applyFill="1" applyBorder="1"/>
    <xf numFmtId="0" fontId="3" fillId="2" borderId="4" xfId="0" applyFont="1" applyFill="1" applyBorder="1"/>
    <xf numFmtId="49" fontId="3" fillId="2" borderId="4" xfId="0" applyNumberFormat="1" applyFont="1" applyFill="1" applyBorder="1"/>
    <xf numFmtId="165" fontId="3" fillId="2" borderId="5" xfId="0" applyNumberFormat="1" applyFont="1" applyFill="1" applyBorder="1"/>
    <xf numFmtId="165" fontId="3" fillId="2" borderId="1" xfId="0" applyNumberFormat="1" applyFont="1" applyFill="1" applyBorder="1"/>
    <xf numFmtId="166" fontId="0" fillId="0" borderId="0" xfId="0" applyNumberFormat="1" applyBorder="1"/>
    <xf numFmtId="165" fontId="0" fillId="0" borderId="0" xfId="0" applyNumberFormat="1"/>
    <xf numFmtId="166" fontId="0" fillId="0" borderId="1" xfId="0" applyNumberFormat="1" applyBorder="1"/>
    <xf numFmtId="49" fontId="3" fillId="0" borderId="2" xfId="0" applyNumberFormat="1" applyFont="1" applyBorder="1"/>
    <xf numFmtId="49" fontId="0" fillId="0" borderId="1" xfId="0" applyNumberFormat="1" applyFont="1" applyBorder="1"/>
    <xf numFmtId="165" fontId="1" fillId="3" borderId="1" xfId="1" applyNumberFormat="1" applyFont="1" applyFill="1" applyBorder="1"/>
    <xf numFmtId="49" fontId="3" fillId="2" borderId="2" xfId="0" applyNumberFormat="1" applyFont="1" applyFill="1" applyBorder="1"/>
    <xf numFmtId="165" fontId="3" fillId="0" borderId="1" xfId="0" applyNumberFormat="1" applyFont="1" applyBorder="1"/>
    <xf numFmtId="165" fontId="3" fillId="2" borderId="2" xfId="0" applyNumberFormat="1" applyFont="1" applyFill="1" applyBorder="1"/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49" fontId="3" fillId="0" borderId="0" xfId="0" applyNumberFormat="1" applyFont="1"/>
    <xf numFmtId="49" fontId="0" fillId="0" borderId="0" xfId="0" applyNumberFormat="1"/>
    <xf numFmtId="166" fontId="0" fillId="0" borderId="0" xfId="0" applyNumberFormat="1"/>
    <xf numFmtId="166" fontId="3" fillId="0" borderId="1" xfId="0" applyNumberFormat="1" applyFont="1" applyBorder="1" applyAlignment="1">
      <alignment wrapText="1"/>
    </xf>
    <xf numFmtId="166" fontId="3" fillId="2" borderId="1" xfId="0" applyNumberFormat="1" applyFont="1" applyFill="1" applyBorder="1"/>
    <xf numFmtId="166" fontId="3" fillId="3" borderId="2" xfId="0" applyNumberFormat="1" applyFont="1" applyFill="1" applyBorder="1"/>
    <xf numFmtId="166" fontId="0" fillId="0" borderId="2" xfId="0" applyNumberFormat="1" applyBorder="1"/>
    <xf numFmtId="166" fontId="3" fillId="2" borderId="4" xfId="0" applyNumberFormat="1" applyFont="1" applyFill="1" applyBorder="1"/>
    <xf numFmtId="49" fontId="0" fillId="2" borderId="3" xfId="0" applyNumberFormat="1" applyFill="1" applyBorder="1"/>
    <xf numFmtId="166" fontId="0" fillId="2" borderId="4" xfId="0" applyNumberFormat="1" applyFill="1" applyBorder="1"/>
    <xf numFmtId="49" fontId="0" fillId="2" borderId="4" xfId="0" applyNumberFormat="1" applyFill="1" applyBorder="1"/>
    <xf numFmtId="165" fontId="0" fillId="2" borderId="5" xfId="0" applyNumberFormat="1" applyFill="1" applyBorder="1"/>
    <xf numFmtId="1" fontId="0" fillId="2" borderId="1" xfId="0" applyNumberFormat="1" applyFill="1" applyBorder="1"/>
    <xf numFmtId="49" fontId="3" fillId="2" borderId="1" xfId="0" applyNumberFormat="1" applyFont="1" applyFill="1" applyBorder="1"/>
    <xf numFmtId="164" fontId="0" fillId="0" borderId="0" xfId="0" applyNumberFormat="1"/>
    <xf numFmtId="49" fontId="3" fillId="2" borderId="6" xfId="0" applyNumberFormat="1" applyFont="1" applyFill="1" applyBorder="1"/>
    <xf numFmtId="166" fontId="3" fillId="2" borderId="7" xfId="0" applyNumberFormat="1" applyFont="1" applyFill="1" applyBorder="1"/>
    <xf numFmtId="49" fontId="3" fillId="2" borderId="7" xfId="0" applyNumberFormat="1" applyFont="1" applyFill="1" applyBorder="1"/>
    <xf numFmtId="165" fontId="3" fillId="2" borderId="8" xfId="0" applyNumberFormat="1" applyFont="1" applyFill="1" applyBorder="1"/>
    <xf numFmtId="165" fontId="3" fillId="2" borderId="4" xfId="0" applyNumberFormat="1" applyFont="1" applyFill="1" applyBorder="1"/>
    <xf numFmtId="49" fontId="2" fillId="0" borderId="1" xfId="0" applyNumberFormat="1" applyFont="1" applyBorder="1"/>
    <xf numFmtId="166" fontId="2" fillId="0" borderId="1" xfId="0" applyNumberFormat="1" applyFont="1" applyBorder="1"/>
    <xf numFmtId="0" fontId="0" fillId="2" borderId="4" xfId="0" applyFill="1" applyBorder="1"/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wrapText="1"/>
    </xf>
    <xf numFmtId="0" fontId="3" fillId="2" borderId="6" xfId="0" applyFont="1" applyFill="1" applyBorder="1" applyAlignment="1">
      <alignment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25" workbookViewId="0">
      <selection activeCell="D13" sqref="D13"/>
    </sheetView>
  </sheetViews>
  <sheetFormatPr baseColWidth="10" defaultRowHeight="15" x14ac:dyDescent="0.25"/>
  <cols>
    <col min="1" max="1" width="19.7109375" style="34" customWidth="1"/>
    <col min="2" max="2" width="8.28515625" style="35" customWidth="1"/>
    <col min="3" max="3" width="2.85546875" customWidth="1"/>
    <col min="4" max="4" width="20.85546875" style="34" customWidth="1"/>
    <col min="5" max="5" width="14.140625" style="34" customWidth="1"/>
    <col min="6" max="6" width="12.85546875" style="22" customWidth="1"/>
  </cols>
  <sheetData>
    <row r="1" spans="1:6" x14ac:dyDescent="0.25">
      <c r="A1" s="33" t="s">
        <v>19</v>
      </c>
    </row>
    <row r="3" spans="1:6" s="1" customFormat="1" ht="30" x14ac:dyDescent="0.25">
      <c r="A3" s="30" t="s">
        <v>0</v>
      </c>
      <c r="B3" s="36" t="s">
        <v>46</v>
      </c>
      <c r="C3" s="31"/>
      <c r="D3" s="30" t="s">
        <v>1</v>
      </c>
      <c r="E3" s="30" t="s">
        <v>12</v>
      </c>
      <c r="F3" s="32" t="s">
        <v>2</v>
      </c>
    </row>
    <row r="4" spans="1:6" x14ac:dyDescent="0.25">
      <c r="A4" s="4" t="s">
        <v>3</v>
      </c>
      <c r="B4" s="23">
        <v>3.65</v>
      </c>
      <c r="C4" s="2"/>
      <c r="D4" s="4" t="s">
        <v>11</v>
      </c>
      <c r="E4" s="4" t="s">
        <v>35</v>
      </c>
      <c r="F4" s="6">
        <f>6.9*3.65</f>
        <v>25.185000000000002</v>
      </c>
    </row>
    <row r="5" spans="1:6" x14ac:dyDescent="0.25">
      <c r="A5" s="4" t="s">
        <v>4</v>
      </c>
      <c r="B5" s="23">
        <f>B4*0.08</f>
        <v>0.29199999999999998</v>
      </c>
      <c r="C5" s="2"/>
      <c r="D5" s="4" t="s">
        <v>13</v>
      </c>
      <c r="E5" s="4" t="s">
        <v>45</v>
      </c>
      <c r="F5" s="6">
        <f>F4*10/110</f>
        <v>2.2895454545454546</v>
      </c>
    </row>
    <row r="6" spans="1:6" x14ac:dyDescent="0.25">
      <c r="A6" s="4" t="s">
        <v>5</v>
      </c>
      <c r="B6" s="23">
        <f>B4-B5</f>
        <v>3.3580000000000001</v>
      </c>
      <c r="C6" s="2"/>
      <c r="D6" s="4" t="s">
        <v>14</v>
      </c>
      <c r="E6" s="4"/>
      <c r="F6" s="6">
        <f>F4-F5</f>
        <v>22.895454545454548</v>
      </c>
    </row>
    <row r="7" spans="1:6" x14ac:dyDescent="0.25">
      <c r="A7" s="4" t="s">
        <v>6</v>
      </c>
      <c r="B7" s="23">
        <f>B6*0.25</f>
        <v>0.83950000000000002</v>
      </c>
      <c r="C7" s="2"/>
      <c r="D7" s="4" t="s">
        <v>15</v>
      </c>
      <c r="E7" s="4" t="s">
        <v>42</v>
      </c>
      <c r="F7" s="6">
        <f>F6*5/100</f>
        <v>1.1447727272727275</v>
      </c>
    </row>
    <row r="8" spans="1:6" x14ac:dyDescent="0.25">
      <c r="A8" s="4" t="s">
        <v>7</v>
      </c>
      <c r="B8" s="23">
        <f>B6-B7</f>
        <v>2.5185</v>
      </c>
      <c r="C8" s="2"/>
      <c r="D8" s="4" t="s">
        <v>16</v>
      </c>
      <c r="E8" s="4"/>
      <c r="F8" s="6">
        <f>F6-F7</f>
        <v>21.750681818181821</v>
      </c>
    </row>
    <row r="9" spans="1:6" x14ac:dyDescent="0.25">
      <c r="A9" s="4" t="s">
        <v>8</v>
      </c>
      <c r="B9" s="23">
        <v>0.15</v>
      </c>
      <c r="C9" s="2"/>
      <c r="D9" s="4" t="s">
        <v>17</v>
      </c>
      <c r="E9" s="4" t="s">
        <v>43</v>
      </c>
      <c r="F9" s="6">
        <f>F8*2/100</f>
        <v>0.43501363636363644</v>
      </c>
    </row>
    <row r="10" spans="1:6" x14ac:dyDescent="0.25">
      <c r="A10" s="4" t="s">
        <v>9</v>
      </c>
      <c r="B10" s="23">
        <f>B8/B9</f>
        <v>16.79</v>
      </c>
      <c r="C10" s="2"/>
      <c r="D10" s="25" t="s">
        <v>18</v>
      </c>
      <c r="E10" s="3"/>
      <c r="F10" s="26">
        <f>F8-F9</f>
        <v>21.315668181818186</v>
      </c>
    </row>
    <row r="11" spans="1:6" x14ac:dyDescent="0.25">
      <c r="A11" s="3" t="s">
        <v>10</v>
      </c>
      <c r="B11" s="37">
        <f>B10-0.79</f>
        <v>16</v>
      </c>
      <c r="C11" s="2"/>
      <c r="D11" s="4" t="s">
        <v>33</v>
      </c>
      <c r="E11" s="4" t="s">
        <v>44</v>
      </c>
      <c r="F11" s="6">
        <f>F10*3/100</f>
        <v>0.63947004545454567</v>
      </c>
    </row>
    <row r="12" spans="1:6" x14ac:dyDescent="0.25">
      <c r="A12" s="24"/>
      <c r="B12" s="38"/>
      <c r="C12" s="10"/>
      <c r="D12" s="27" t="s">
        <v>29</v>
      </c>
      <c r="E12" s="27"/>
      <c r="F12" s="29">
        <f>F10+F11</f>
        <v>21.95513822727273</v>
      </c>
    </row>
    <row r="13" spans="1:6" ht="15.75" thickBot="1" x14ac:dyDescent="0.3">
      <c r="A13" s="9"/>
      <c r="B13" s="39"/>
      <c r="C13" s="10"/>
      <c r="D13" s="9"/>
      <c r="E13" s="9"/>
      <c r="F13" s="11"/>
    </row>
    <row r="14" spans="1:6" ht="15.75" thickBot="1" x14ac:dyDescent="0.3">
      <c r="A14" s="16" t="s">
        <v>20</v>
      </c>
      <c r="B14" s="40"/>
      <c r="C14" s="17" t="s">
        <v>21</v>
      </c>
      <c r="D14" s="18" t="s">
        <v>141</v>
      </c>
      <c r="E14" s="18"/>
      <c r="F14" s="19">
        <f>F12/B11</f>
        <v>1.3721961392045456</v>
      </c>
    </row>
    <row r="15" spans="1:6" x14ac:dyDescent="0.25">
      <c r="A15" s="12"/>
      <c r="B15" s="21"/>
      <c r="C15" s="13"/>
      <c r="D15" s="12"/>
      <c r="E15" s="12"/>
      <c r="F15" s="14"/>
    </row>
    <row r="16" spans="1:6" x14ac:dyDescent="0.25">
      <c r="A16" s="12"/>
      <c r="B16" s="21"/>
      <c r="C16" s="13"/>
      <c r="D16" s="12"/>
      <c r="E16" s="12"/>
      <c r="F16" s="14"/>
    </row>
    <row r="17" spans="1:6" x14ac:dyDescent="0.25">
      <c r="A17" s="15" t="s">
        <v>22</v>
      </c>
      <c r="B17" s="21"/>
      <c r="C17" s="13"/>
      <c r="D17" s="12"/>
      <c r="E17" s="12"/>
      <c r="F17" s="14"/>
    </row>
    <row r="18" spans="1:6" x14ac:dyDescent="0.25">
      <c r="A18" s="12"/>
      <c r="B18" s="21"/>
      <c r="C18" s="13"/>
      <c r="D18" s="12"/>
      <c r="E18" s="12"/>
      <c r="F18" s="14"/>
    </row>
    <row r="19" spans="1:6" ht="30" x14ac:dyDescent="0.25">
      <c r="A19" s="30" t="s">
        <v>0</v>
      </c>
      <c r="B19" s="36" t="s">
        <v>46</v>
      </c>
      <c r="C19" s="31"/>
      <c r="D19" s="30" t="s">
        <v>1</v>
      </c>
      <c r="E19" s="30" t="s">
        <v>12</v>
      </c>
      <c r="F19" s="32" t="s">
        <v>2</v>
      </c>
    </row>
    <row r="20" spans="1:6" x14ac:dyDescent="0.25">
      <c r="A20" s="4" t="s">
        <v>3</v>
      </c>
      <c r="B20" s="23">
        <v>8.9</v>
      </c>
      <c r="C20" s="2"/>
      <c r="D20" s="4" t="s">
        <v>23</v>
      </c>
      <c r="E20" s="4" t="s">
        <v>37</v>
      </c>
      <c r="F20" s="6">
        <f>8.9*9.2</f>
        <v>81.88</v>
      </c>
    </row>
    <row r="21" spans="1:6" x14ac:dyDescent="0.25">
      <c r="A21" s="4" t="s">
        <v>24</v>
      </c>
      <c r="B21" s="23">
        <f>B20*0.07</f>
        <v>0.62300000000000011</v>
      </c>
      <c r="C21" s="2"/>
      <c r="D21" s="4" t="s">
        <v>13</v>
      </c>
      <c r="E21" s="4" t="s">
        <v>38</v>
      </c>
      <c r="F21" s="6">
        <f>F20*10/110</f>
        <v>7.4436363636363634</v>
      </c>
    </row>
    <row r="22" spans="1:6" x14ac:dyDescent="0.25">
      <c r="A22" s="4" t="s">
        <v>5</v>
      </c>
      <c r="B22" s="23">
        <f>B20-B21</f>
        <v>8.277000000000001</v>
      </c>
      <c r="C22" s="2"/>
      <c r="D22" s="4" t="s">
        <v>25</v>
      </c>
      <c r="E22" s="4"/>
      <c r="F22" s="6">
        <f>F20-F21</f>
        <v>74.436363636363637</v>
      </c>
    </row>
    <row r="23" spans="1:6" x14ac:dyDescent="0.25">
      <c r="A23" s="4" t="s">
        <v>26</v>
      </c>
      <c r="B23" s="23">
        <f>B22*0.22</f>
        <v>1.8209400000000002</v>
      </c>
      <c r="C23" s="2"/>
      <c r="D23" s="4" t="s">
        <v>30</v>
      </c>
      <c r="E23" s="4" t="s">
        <v>39</v>
      </c>
      <c r="F23" s="6">
        <f>F22*0.04</f>
        <v>2.9774545454545454</v>
      </c>
    </row>
    <row r="24" spans="1:6" x14ac:dyDescent="0.25">
      <c r="A24" s="4" t="s">
        <v>7</v>
      </c>
      <c r="B24" s="23">
        <f>B22-B23</f>
        <v>6.4560600000000008</v>
      </c>
      <c r="C24" s="2"/>
      <c r="D24" s="4" t="s">
        <v>16</v>
      </c>
      <c r="E24" s="4"/>
      <c r="F24" s="6">
        <f>F22-F23</f>
        <v>71.458909090909088</v>
      </c>
    </row>
    <row r="25" spans="1:6" x14ac:dyDescent="0.25">
      <c r="A25" s="4" t="s">
        <v>8</v>
      </c>
      <c r="B25" s="23">
        <v>0.14000000000000001</v>
      </c>
      <c r="C25" s="2"/>
      <c r="D25" s="4" t="s">
        <v>36</v>
      </c>
      <c r="E25" s="4" t="s">
        <v>40</v>
      </c>
      <c r="F25" s="6">
        <f>F24*2/100</f>
        <v>1.4291781818181817</v>
      </c>
    </row>
    <row r="26" spans="1:6" x14ac:dyDescent="0.25">
      <c r="A26" s="4" t="s">
        <v>9</v>
      </c>
      <c r="B26" s="23">
        <f>B24/B25</f>
        <v>46.114714285714285</v>
      </c>
      <c r="C26" s="2"/>
      <c r="D26" s="4" t="s">
        <v>18</v>
      </c>
      <c r="E26" s="4"/>
      <c r="F26" s="6">
        <f>F24-F25</f>
        <v>70.029730909090901</v>
      </c>
    </row>
    <row r="27" spans="1:6" x14ac:dyDescent="0.25">
      <c r="A27" s="3" t="s">
        <v>27</v>
      </c>
      <c r="B27" s="37">
        <f>B26-0.11</f>
        <v>46.004714285714286</v>
      </c>
      <c r="C27" s="2"/>
      <c r="D27" s="4" t="s">
        <v>28</v>
      </c>
      <c r="E27" s="4" t="s">
        <v>41</v>
      </c>
      <c r="F27" s="6">
        <f>F26*2/100</f>
        <v>1.4005946181818181</v>
      </c>
    </row>
    <row r="28" spans="1:6" x14ac:dyDescent="0.25">
      <c r="A28" s="4"/>
      <c r="B28" s="23"/>
      <c r="C28" s="2"/>
      <c r="D28" s="3" t="s">
        <v>29</v>
      </c>
      <c r="E28" s="3"/>
      <c r="F28" s="20">
        <f>F26+F27</f>
        <v>71.430325527272714</v>
      </c>
    </row>
    <row r="29" spans="1:6" ht="15.75" thickBot="1" x14ac:dyDescent="0.3"/>
    <row r="30" spans="1:6" ht="15.75" thickBot="1" x14ac:dyDescent="0.3">
      <c r="A30" s="16" t="s">
        <v>31</v>
      </c>
      <c r="B30" s="40"/>
      <c r="C30" s="17" t="s">
        <v>21</v>
      </c>
      <c r="D30" s="18" t="s">
        <v>32</v>
      </c>
      <c r="E30" s="18"/>
      <c r="F30" s="19">
        <f>F28/B27</f>
        <v>1.5526740386572464</v>
      </c>
    </row>
    <row r="32" spans="1:6" x14ac:dyDescent="0.25">
      <c r="A32" s="33" t="s">
        <v>47</v>
      </c>
    </row>
    <row r="34" spans="1:6" ht="30" x14ac:dyDescent="0.25">
      <c r="A34" s="30" t="s">
        <v>0</v>
      </c>
      <c r="B34" s="36" t="s">
        <v>46</v>
      </c>
      <c r="C34" s="31"/>
      <c r="D34" s="30" t="s">
        <v>1</v>
      </c>
      <c r="E34" s="30" t="s">
        <v>12</v>
      </c>
      <c r="F34" s="32" t="s">
        <v>2</v>
      </c>
    </row>
    <row r="35" spans="1:6" x14ac:dyDescent="0.25">
      <c r="A35" s="4" t="s">
        <v>3</v>
      </c>
      <c r="B35" s="23">
        <f>20*0.5</f>
        <v>10</v>
      </c>
      <c r="C35" s="2"/>
      <c r="D35" s="4" t="s">
        <v>23</v>
      </c>
      <c r="E35" s="4" t="s">
        <v>48</v>
      </c>
      <c r="F35" s="6">
        <f>3*20</f>
        <v>60</v>
      </c>
    </row>
    <row r="36" spans="1:6" x14ac:dyDescent="0.25">
      <c r="A36" s="4" t="s">
        <v>49</v>
      </c>
      <c r="B36" s="23">
        <f>B35*0.15</f>
        <v>1.5</v>
      </c>
      <c r="C36" s="2"/>
      <c r="D36" s="4" t="s">
        <v>13</v>
      </c>
      <c r="E36" s="4" t="s">
        <v>50</v>
      </c>
      <c r="F36" s="6">
        <f>F35*10/110</f>
        <v>5.4545454545454541</v>
      </c>
    </row>
    <row r="37" spans="1:6" x14ac:dyDescent="0.25">
      <c r="A37" s="4" t="s">
        <v>51</v>
      </c>
      <c r="B37" s="23">
        <f>B35-B36</f>
        <v>8.5</v>
      </c>
      <c r="C37" s="2"/>
      <c r="D37" s="4" t="s">
        <v>25</v>
      </c>
      <c r="E37" s="4"/>
      <c r="F37" s="6">
        <f>F35-F36</f>
        <v>54.545454545454547</v>
      </c>
    </row>
    <row r="38" spans="1:6" x14ac:dyDescent="0.25">
      <c r="A38" s="4" t="s">
        <v>52</v>
      </c>
      <c r="B38" s="23">
        <f>B37*8/100</f>
        <v>0.68</v>
      </c>
      <c r="C38" s="2"/>
      <c r="D38" s="4" t="s">
        <v>53</v>
      </c>
      <c r="E38" s="4" t="s">
        <v>54</v>
      </c>
      <c r="F38" s="6">
        <f>F37*15/100</f>
        <v>8.1818181818181817</v>
      </c>
    </row>
    <row r="39" spans="1:6" x14ac:dyDescent="0.25">
      <c r="A39" s="4" t="s">
        <v>55</v>
      </c>
      <c r="B39" s="23">
        <f>B37-B38</f>
        <v>7.82</v>
      </c>
      <c r="C39" s="2"/>
      <c r="D39" s="4" t="s">
        <v>16</v>
      </c>
      <c r="E39" s="4"/>
      <c r="F39" s="6">
        <f>F37-F38</f>
        <v>46.363636363636367</v>
      </c>
    </row>
    <row r="40" spans="1:6" x14ac:dyDescent="0.25">
      <c r="A40" s="4" t="s">
        <v>8</v>
      </c>
      <c r="B40" s="23">
        <v>0.17</v>
      </c>
      <c r="C40" s="2"/>
      <c r="D40" s="4" t="s">
        <v>17</v>
      </c>
      <c r="E40" s="4" t="s">
        <v>56</v>
      </c>
      <c r="F40" s="6">
        <f>F39*2/100</f>
        <v>0.92727272727272736</v>
      </c>
    </row>
    <row r="41" spans="1:6" x14ac:dyDescent="0.25">
      <c r="A41" s="4" t="s">
        <v>57</v>
      </c>
      <c r="B41" s="23">
        <f>B39/B40</f>
        <v>46</v>
      </c>
      <c r="C41" s="2"/>
      <c r="D41" s="4" t="s">
        <v>18</v>
      </c>
      <c r="E41" s="4"/>
      <c r="F41" s="6">
        <f>F39-F40</f>
        <v>45.436363636363637</v>
      </c>
    </row>
    <row r="42" spans="1:6" x14ac:dyDescent="0.25">
      <c r="A42" s="4" t="s">
        <v>10</v>
      </c>
      <c r="B42" s="45">
        <f>B41</f>
        <v>46</v>
      </c>
      <c r="C42" s="2"/>
      <c r="D42" s="4" t="s">
        <v>33</v>
      </c>
      <c r="E42" s="4" t="s">
        <v>58</v>
      </c>
      <c r="F42" s="6">
        <f>F41*3/100</f>
        <v>1.3630909090909091</v>
      </c>
    </row>
    <row r="43" spans="1:6" x14ac:dyDescent="0.25">
      <c r="A43" s="4"/>
      <c r="B43" s="23"/>
      <c r="C43" s="2"/>
      <c r="D43" s="46" t="s">
        <v>34</v>
      </c>
      <c r="E43" s="46"/>
      <c r="F43" s="20">
        <f>F41+F42</f>
        <v>46.799454545454545</v>
      </c>
    </row>
    <row r="44" spans="1:6" ht="15.75" thickBot="1" x14ac:dyDescent="0.3"/>
    <row r="45" spans="1:6" ht="15.75" thickBot="1" x14ac:dyDescent="0.3">
      <c r="A45" s="41" t="s">
        <v>31</v>
      </c>
      <c r="B45" s="42"/>
      <c r="C45" s="43" t="s">
        <v>21</v>
      </c>
      <c r="D45" s="43" t="s">
        <v>59</v>
      </c>
      <c r="E45" s="43"/>
      <c r="F45" s="44">
        <f>F43/B41</f>
        <v>1.0173794466403161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0" workbookViewId="0">
      <selection activeCell="F14" sqref="F14"/>
    </sheetView>
  </sheetViews>
  <sheetFormatPr baseColWidth="10" defaultRowHeight="15" x14ac:dyDescent="0.25"/>
  <cols>
    <col min="1" max="1" width="24.140625" customWidth="1"/>
    <col min="2" max="2" width="16.140625" customWidth="1"/>
    <col min="3" max="3" width="9.85546875" customWidth="1"/>
    <col min="4" max="4" width="3.28515625" customWidth="1"/>
    <col min="5" max="5" width="18.7109375" customWidth="1"/>
    <col min="6" max="6" width="15.7109375" customWidth="1"/>
  </cols>
  <sheetData>
    <row r="1" spans="1:6" x14ac:dyDescent="0.25">
      <c r="A1" t="s">
        <v>97</v>
      </c>
    </row>
    <row r="3" spans="1:6" ht="30" x14ac:dyDescent="0.25">
      <c r="A3" s="30" t="s">
        <v>98</v>
      </c>
      <c r="B3" s="30" t="s">
        <v>12</v>
      </c>
      <c r="C3" s="31" t="s">
        <v>99</v>
      </c>
      <c r="D3" s="31"/>
      <c r="E3" s="31" t="s">
        <v>1</v>
      </c>
      <c r="F3" s="31" t="s">
        <v>100</v>
      </c>
    </row>
    <row r="4" spans="1:6" x14ac:dyDescent="0.25">
      <c r="A4" s="4" t="s">
        <v>103</v>
      </c>
      <c r="B4" s="4" t="s">
        <v>101</v>
      </c>
      <c r="C4" s="23">
        <f>50*0.16</f>
        <v>8</v>
      </c>
      <c r="D4" s="2"/>
      <c r="E4" s="4" t="s">
        <v>23</v>
      </c>
      <c r="F4" s="6">
        <f>C9*7.9</f>
        <v>91.64</v>
      </c>
    </row>
    <row r="5" spans="1:6" x14ac:dyDescent="0.25">
      <c r="A5" s="4" t="s">
        <v>102</v>
      </c>
      <c r="B5" s="4" t="s">
        <v>106</v>
      </c>
      <c r="C5" s="23">
        <f>C4*25/(100-25)</f>
        <v>2.6666666666666665</v>
      </c>
      <c r="D5" s="2"/>
      <c r="E5" s="4" t="s">
        <v>112</v>
      </c>
      <c r="F5" s="6">
        <f>F4*10/110</f>
        <v>8.3309090909090902</v>
      </c>
    </row>
    <row r="6" spans="1:6" x14ac:dyDescent="0.25">
      <c r="A6" s="4" t="s">
        <v>104</v>
      </c>
      <c r="B6" s="4" t="s">
        <v>105</v>
      </c>
      <c r="C6" s="23">
        <f>C4*100/75</f>
        <v>10.666666666666666</v>
      </c>
      <c r="D6" s="2"/>
      <c r="E6" s="4" t="s">
        <v>89</v>
      </c>
      <c r="F6" s="6">
        <f>F4*100/110</f>
        <v>83.309090909090912</v>
      </c>
    </row>
    <row r="7" spans="1:6" x14ac:dyDescent="0.25">
      <c r="A7" s="4" t="s">
        <v>107</v>
      </c>
      <c r="B7" s="4" t="s">
        <v>108</v>
      </c>
      <c r="C7" s="23">
        <f>C6*8/(100-8)</f>
        <v>0.92753623188405787</v>
      </c>
      <c r="D7" s="2"/>
      <c r="E7" s="4" t="s">
        <v>113</v>
      </c>
      <c r="F7" s="6">
        <f>F6*10/100</f>
        <v>8.3309090909090919</v>
      </c>
    </row>
    <row r="8" spans="1:6" x14ac:dyDescent="0.25">
      <c r="A8" s="4" t="s">
        <v>109</v>
      </c>
      <c r="B8" s="4" t="s">
        <v>110</v>
      </c>
      <c r="C8" s="23">
        <f>C6*100/92</f>
        <v>11.594202898550723</v>
      </c>
      <c r="D8" s="2"/>
      <c r="E8" s="4" t="s">
        <v>16</v>
      </c>
      <c r="F8" s="6">
        <f>F6-F7</f>
        <v>74.978181818181824</v>
      </c>
    </row>
    <row r="9" spans="1:6" x14ac:dyDescent="0.25">
      <c r="A9" s="4" t="s">
        <v>111</v>
      </c>
      <c r="B9" s="4"/>
      <c r="C9" s="23">
        <v>11.6</v>
      </c>
      <c r="D9" s="2"/>
      <c r="E9" s="4" t="s">
        <v>17</v>
      </c>
      <c r="F9" s="6">
        <f>F8*2/100</f>
        <v>1.4995636363636364</v>
      </c>
    </row>
    <row r="10" spans="1:6" x14ac:dyDescent="0.25">
      <c r="A10" s="53" t="s">
        <v>118</v>
      </c>
      <c r="B10" s="53" t="s">
        <v>117</v>
      </c>
      <c r="C10" s="54">
        <f>C9*7.9</f>
        <v>91.64</v>
      </c>
      <c r="D10" s="2"/>
      <c r="E10" s="4" t="s">
        <v>114</v>
      </c>
      <c r="F10" s="6">
        <f>F8-F9</f>
        <v>73.478618181818192</v>
      </c>
    </row>
    <row r="11" spans="1:6" x14ac:dyDescent="0.25">
      <c r="D11" s="2"/>
      <c r="E11" s="4" t="s">
        <v>28</v>
      </c>
      <c r="F11" s="6">
        <f>F10*2/100</f>
        <v>1.4695723636363638</v>
      </c>
    </row>
    <row r="12" spans="1:6" x14ac:dyDescent="0.25">
      <c r="A12" s="3" t="s">
        <v>115</v>
      </c>
      <c r="B12" s="3"/>
      <c r="C12" s="7">
        <v>50</v>
      </c>
      <c r="D12" s="2"/>
      <c r="E12" s="3" t="s">
        <v>34</v>
      </c>
      <c r="F12" s="20">
        <f>F10+F11</f>
        <v>74.948190545454551</v>
      </c>
    </row>
    <row r="13" spans="1:6" ht="15.75" thickBot="1" x14ac:dyDescent="0.3">
      <c r="A13" s="34"/>
      <c r="B13" s="34"/>
      <c r="C13" s="35"/>
      <c r="E13" s="34"/>
      <c r="F13" s="22"/>
    </row>
    <row r="14" spans="1:6" ht="15.75" thickBot="1" x14ac:dyDescent="0.3">
      <c r="A14" s="16" t="s">
        <v>116</v>
      </c>
      <c r="B14" s="18"/>
      <c r="C14" s="40" t="s">
        <v>73</v>
      </c>
      <c r="D14" s="17"/>
      <c r="E14" s="18"/>
      <c r="F14" s="19">
        <f>F12/C12</f>
        <v>1.498963810909091</v>
      </c>
    </row>
    <row r="15" spans="1:6" x14ac:dyDescent="0.25">
      <c r="A15" s="34"/>
      <c r="B15" s="34"/>
      <c r="C15" s="35"/>
      <c r="E15" s="34"/>
      <c r="F15" s="47"/>
    </row>
    <row r="16" spans="1:6" x14ac:dyDescent="0.25">
      <c r="A16" s="33" t="s">
        <v>137</v>
      </c>
      <c r="B16" s="33" t="s">
        <v>138</v>
      </c>
      <c r="C16" s="35"/>
      <c r="E16" s="34"/>
      <c r="F16" s="47"/>
    </row>
    <row r="17" spans="1:6" ht="30" x14ac:dyDescent="0.25">
      <c r="A17" s="4" t="s">
        <v>140</v>
      </c>
      <c r="B17" s="34"/>
      <c r="C17" s="57" t="s">
        <v>99</v>
      </c>
      <c r="E17" s="4" t="s">
        <v>139</v>
      </c>
      <c r="F17" s="5" t="s">
        <v>100</v>
      </c>
    </row>
    <row r="18" spans="1:6" x14ac:dyDescent="0.25">
      <c r="A18" s="56" t="s">
        <v>119</v>
      </c>
      <c r="C18" s="23">
        <f>5*1.2</f>
        <v>6</v>
      </c>
      <c r="E18" s="56" t="s">
        <v>134</v>
      </c>
      <c r="F18" s="6">
        <f>6*3.18</f>
        <v>19.080000000000002</v>
      </c>
    </row>
    <row r="19" spans="1:6" x14ac:dyDescent="0.25">
      <c r="A19" s="56" t="s">
        <v>120</v>
      </c>
      <c r="C19" s="23">
        <f>1/8</f>
        <v>0.125</v>
      </c>
      <c r="E19" s="56" t="s">
        <v>121</v>
      </c>
      <c r="F19" s="6">
        <f>C19*0.88</f>
        <v>0.11</v>
      </c>
    </row>
    <row r="20" spans="1:6" x14ac:dyDescent="0.25">
      <c r="A20" s="56" t="s">
        <v>122</v>
      </c>
      <c r="C20" s="23">
        <f>0.1</f>
        <v>0.1</v>
      </c>
      <c r="E20" s="56" t="s">
        <v>123</v>
      </c>
      <c r="F20" s="6">
        <f>C20*0.82</f>
        <v>8.2000000000000003E-2</v>
      </c>
    </row>
    <row r="21" spans="1:6" x14ac:dyDescent="0.25">
      <c r="A21" s="56" t="s">
        <v>124</v>
      </c>
      <c r="C21" s="23">
        <f>0.5</f>
        <v>0.5</v>
      </c>
      <c r="E21" s="56" t="s">
        <v>125</v>
      </c>
      <c r="F21" s="6">
        <f>C21*3.46</f>
        <v>1.73</v>
      </c>
    </row>
    <row r="22" spans="1:6" x14ac:dyDescent="0.25">
      <c r="A22" s="56" t="s">
        <v>126</v>
      </c>
      <c r="C22" s="23">
        <f>1/8</f>
        <v>0.125</v>
      </c>
      <c r="E22" s="56" t="s">
        <v>127</v>
      </c>
      <c r="F22" s="6">
        <f>C22*1.12</f>
        <v>0.14000000000000001</v>
      </c>
    </row>
    <row r="23" spans="1:6" x14ac:dyDescent="0.25">
      <c r="A23" s="56" t="s">
        <v>128</v>
      </c>
      <c r="C23" s="23">
        <f>1/16</f>
        <v>6.25E-2</v>
      </c>
      <c r="E23" s="56" t="s">
        <v>129</v>
      </c>
      <c r="F23" s="6">
        <f>C23*12.45</f>
        <v>0.77812499999999996</v>
      </c>
    </row>
    <row r="24" spans="1:6" x14ac:dyDescent="0.25">
      <c r="A24" s="56" t="s">
        <v>130</v>
      </c>
      <c r="C24" s="23">
        <f>1/2</f>
        <v>0.5</v>
      </c>
      <c r="E24" s="56" t="s">
        <v>131</v>
      </c>
      <c r="F24" s="6">
        <f>C24*0.44</f>
        <v>0.22</v>
      </c>
    </row>
    <row r="25" spans="1:6" x14ac:dyDescent="0.25">
      <c r="A25" s="56" t="s">
        <v>132</v>
      </c>
      <c r="C25" s="23"/>
      <c r="E25" s="56" t="s">
        <v>133</v>
      </c>
      <c r="F25" s="6">
        <v>0.3</v>
      </c>
    </row>
    <row r="26" spans="1:6" ht="15.75" thickBot="1" x14ac:dyDescent="0.3">
      <c r="A26" s="56" t="s">
        <v>135</v>
      </c>
      <c r="C26" s="35"/>
      <c r="E26" s="2"/>
      <c r="F26" s="6">
        <f>SUM(F18:F25)</f>
        <v>22.440125000000002</v>
      </c>
    </row>
    <row r="27" spans="1:6" ht="15.75" thickBot="1" x14ac:dyDescent="0.3">
      <c r="A27" s="58" t="s">
        <v>136</v>
      </c>
      <c r="B27" s="55"/>
      <c r="C27" s="19">
        <f>F26/10</f>
        <v>2.2440125000000002</v>
      </c>
      <c r="F27" s="47"/>
    </row>
    <row r="28" spans="1:6" x14ac:dyDescent="0.25">
      <c r="C28" s="35"/>
      <c r="F28" s="47"/>
    </row>
    <row r="29" spans="1:6" x14ac:dyDescent="0.25">
      <c r="C29" s="35"/>
      <c r="F29" s="47"/>
    </row>
    <row r="30" spans="1:6" x14ac:dyDescent="0.25">
      <c r="F30" s="47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topLeftCell="A28" workbookViewId="0">
      <selection activeCell="D47" sqref="D47"/>
    </sheetView>
  </sheetViews>
  <sheetFormatPr baseColWidth="10" defaultRowHeight="15" x14ac:dyDescent="0.25"/>
  <cols>
    <col min="1" max="1" width="22.5703125" style="34" customWidth="1"/>
    <col min="3" max="3" width="3.140625" style="34" customWidth="1"/>
    <col min="4" max="4" width="20" style="34" customWidth="1"/>
    <col min="5" max="5" width="14.7109375" style="22" customWidth="1"/>
  </cols>
  <sheetData>
    <row r="1" spans="1:6" x14ac:dyDescent="0.25">
      <c r="A1" s="33" t="s">
        <v>60</v>
      </c>
    </row>
    <row r="2" spans="1:6" x14ac:dyDescent="0.25">
      <c r="B2" s="35"/>
    </row>
    <row r="3" spans="1:6" x14ac:dyDescent="0.25">
      <c r="A3" s="30" t="s">
        <v>0</v>
      </c>
      <c r="B3" s="36" t="s">
        <v>61</v>
      </c>
      <c r="C3" s="31"/>
      <c r="D3" s="30" t="s">
        <v>1</v>
      </c>
      <c r="E3" s="30" t="s">
        <v>12</v>
      </c>
      <c r="F3" s="32" t="s">
        <v>2</v>
      </c>
    </row>
    <row r="4" spans="1:6" x14ac:dyDescent="0.25">
      <c r="A4" s="4" t="s">
        <v>62</v>
      </c>
      <c r="B4" s="23">
        <f>72*0.75</f>
        <v>54</v>
      </c>
      <c r="C4" s="4"/>
      <c r="D4" s="4" t="s">
        <v>23</v>
      </c>
      <c r="E4" s="4" t="s">
        <v>63</v>
      </c>
      <c r="F4" s="6">
        <f>72*9.2</f>
        <v>662.4</v>
      </c>
    </row>
    <row r="5" spans="1:6" x14ac:dyDescent="0.25">
      <c r="A5" s="4" t="s">
        <v>64</v>
      </c>
      <c r="B5" s="23">
        <f>B4*0.07</f>
        <v>3.7800000000000002</v>
      </c>
      <c r="C5" s="4"/>
      <c r="D5" s="4" t="s">
        <v>67</v>
      </c>
      <c r="E5" s="4" t="s">
        <v>68</v>
      </c>
      <c r="F5" s="6">
        <f>F4*30/100</f>
        <v>198.72</v>
      </c>
    </row>
    <row r="6" spans="1:6" x14ac:dyDescent="0.25">
      <c r="A6" s="4" t="s">
        <v>65</v>
      </c>
      <c r="B6" s="23">
        <f>B4-B5</f>
        <v>50.22</v>
      </c>
      <c r="C6" s="4"/>
      <c r="D6" s="4" t="s">
        <v>16</v>
      </c>
      <c r="E6" s="4"/>
      <c r="F6" s="6">
        <f>F4-F5</f>
        <v>463.67999999999995</v>
      </c>
    </row>
    <row r="7" spans="1:6" x14ac:dyDescent="0.25">
      <c r="A7" s="4" t="s">
        <v>8</v>
      </c>
      <c r="B7" s="23">
        <v>0.125</v>
      </c>
      <c r="C7" s="4"/>
      <c r="D7" s="4" t="s">
        <v>17</v>
      </c>
      <c r="E7" s="4" t="s">
        <v>69</v>
      </c>
      <c r="F7" s="6">
        <f>F6*2/100</f>
        <v>9.2735999999999983</v>
      </c>
    </row>
    <row r="8" spans="1:6" x14ac:dyDescent="0.25">
      <c r="A8" s="4" t="s">
        <v>9</v>
      </c>
      <c r="B8" s="23">
        <f>B6/B7</f>
        <v>401.76</v>
      </c>
      <c r="C8" s="4"/>
      <c r="D8" s="4" t="s">
        <v>18</v>
      </c>
      <c r="E8" s="4"/>
      <c r="F8" s="6">
        <f>F6-F7</f>
        <v>454.40639999999996</v>
      </c>
    </row>
    <row r="9" spans="1:6" x14ac:dyDescent="0.25">
      <c r="A9" s="3" t="s">
        <v>66</v>
      </c>
      <c r="B9" s="8">
        <f>B8-0.76</f>
        <v>401</v>
      </c>
      <c r="C9" s="4"/>
      <c r="D9" s="4" t="s">
        <v>70</v>
      </c>
      <c r="E9" s="4" t="s">
        <v>71</v>
      </c>
      <c r="F9" s="6">
        <f>F8*8/100</f>
        <v>36.352511999999997</v>
      </c>
    </row>
    <row r="10" spans="1:6" x14ac:dyDescent="0.25">
      <c r="A10" s="4"/>
      <c r="B10" s="23"/>
      <c r="C10" s="4"/>
      <c r="D10" s="4" t="s">
        <v>34</v>
      </c>
      <c r="E10" s="4"/>
      <c r="F10" s="20">
        <f>F8+F9</f>
        <v>490.75891199999995</v>
      </c>
    </row>
    <row r="11" spans="1:6" x14ac:dyDescent="0.25">
      <c r="A11" s="4"/>
      <c r="B11" s="23"/>
      <c r="C11" s="4"/>
      <c r="D11" s="4"/>
      <c r="E11" s="4"/>
      <c r="F11" s="2"/>
    </row>
    <row r="12" spans="1:6" ht="15.75" thickBot="1" x14ac:dyDescent="0.3">
      <c r="A12" s="48" t="s">
        <v>72</v>
      </c>
      <c r="B12" s="49"/>
      <c r="C12" s="50" t="s">
        <v>21</v>
      </c>
      <c r="D12" s="50" t="s">
        <v>73</v>
      </c>
      <c r="E12" s="50"/>
      <c r="F12" s="51">
        <f>F10/B9</f>
        <v>1.223837685785536</v>
      </c>
    </row>
    <row r="13" spans="1:6" x14ac:dyDescent="0.25">
      <c r="B13" s="35"/>
      <c r="E13" s="34"/>
    </row>
    <row r="14" spans="1:6" x14ac:dyDescent="0.25">
      <c r="B14" s="35"/>
      <c r="E14" s="34"/>
    </row>
    <row r="15" spans="1:6" x14ac:dyDescent="0.25">
      <c r="A15" s="33" t="s">
        <v>74</v>
      </c>
      <c r="B15" s="35"/>
      <c r="E15" s="34"/>
    </row>
    <row r="16" spans="1:6" x14ac:dyDescent="0.25">
      <c r="B16" s="35"/>
      <c r="E16" s="34"/>
    </row>
    <row r="17" spans="1:6" x14ac:dyDescent="0.25">
      <c r="A17" s="30" t="s">
        <v>0</v>
      </c>
      <c r="B17" s="36" t="s">
        <v>61</v>
      </c>
      <c r="C17" s="31"/>
      <c r="D17" s="30" t="s">
        <v>1</v>
      </c>
      <c r="E17" s="30" t="s">
        <v>12</v>
      </c>
      <c r="F17" s="32" t="s">
        <v>2</v>
      </c>
    </row>
    <row r="18" spans="1:6" x14ac:dyDescent="0.25">
      <c r="A18" s="4" t="s">
        <v>62</v>
      </c>
      <c r="B18" s="23">
        <f>144*0.75</f>
        <v>108</v>
      </c>
      <c r="C18" s="4"/>
      <c r="D18" s="4" t="s">
        <v>23</v>
      </c>
      <c r="E18" s="4" t="s">
        <v>75</v>
      </c>
      <c r="F18" s="6">
        <f>144*8.25</f>
        <v>1188</v>
      </c>
    </row>
    <row r="19" spans="1:6" x14ac:dyDescent="0.25">
      <c r="A19" s="4" t="s">
        <v>76</v>
      </c>
      <c r="B19" s="23">
        <f>B18*0.08</f>
        <v>8.64</v>
      </c>
      <c r="C19" s="4"/>
      <c r="D19" s="4" t="s">
        <v>77</v>
      </c>
      <c r="E19" s="4" t="s">
        <v>78</v>
      </c>
      <c r="F19" s="6">
        <f>F18*20/120</f>
        <v>198</v>
      </c>
    </row>
    <row r="20" spans="1:6" x14ac:dyDescent="0.25">
      <c r="A20" s="4" t="s">
        <v>51</v>
      </c>
      <c r="B20" s="23">
        <f>B18-B19</f>
        <v>99.36</v>
      </c>
      <c r="C20" s="4"/>
      <c r="D20" s="4" t="s">
        <v>79</v>
      </c>
      <c r="E20" s="4"/>
      <c r="F20" s="6">
        <f>F18-F19</f>
        <v>990</v>
      </c>
    </row>
    <row r="21" spans="1:6" x14ac:dyDescent="0.25">
      <c r="A21" s="4" t="s">
        <v>8</v>
      </c>
      <c r="B21" s="23">
        <v>0.125</v>
      </c>
      <c r="C21" s="4"/>
      <c r="D21" s="4" t="s">
        <v>80</v>
      </c>
      <c r="E21" s="6" t="s">
        <v>81</v>
      </c>
      <c r="F21" s="6">
        <f>F20*20/100</f>
        <v>198</v>
      </c>
    </row>
    <row r="22" spans="1:6" x14ac:dyDescent="0.25">
      <c r="A22" s="4" t="s">
        <v>9</v>
      </c>
      <c r="B22" s="23">
        <f>B20/B21</f>
        <v>794.88</v>
      </c>
      <c r="C22" s="4"/>
      <c r="D22" s="4" t="s">
        <v>16</v>
      </c>
      <c r="E22" s="6"/>
      <c r="F22" s="6">
        <f>F20-F21</f>
        <v>792</v>
      </c>
    </row>
    <row r="23" spans="1:6" x14ac:dyDescent="0.25">
      <c r="A23" s="4" t="s">
        <v>66</v>
      </c>
      <c r="B23" s="8">
        <f>B22-0.88</f>
        <v>794</v>
      </c>
      <c r="C23" s="4"/>
      <c r="D23" s="4" t="s">
        <v>36</v>
      </c>
      <c r="E23" s="6" t="s">
        <v>82</v>
      </c>
      <c r="F23" s="6">
        <f>F22*3/100</f>
        <v>23.76</v>
      </c>
    </row>
    <row r="24" spans="1:6" x14ac:dyDescent="0.25">
      <c r="A24" s="4"/>
      <c r="B24" s="23"/>
      <c r="C24" s="4"/>
      <c r="D24" s="4" t="s">
        <v>18</v>
      </c>
      <c r="E24" s="6"/>
      <c r="F24" s="6">
        <f>F22-F23</f>
        <v>768.24</v>
      </c>
    </row>
    <row r="25" spans="1:6" x14ac:dyDescent="0.25">
      <c r="A25" s="4"/>
      <c r="B25" s="23"/>
      <c r="C25" s="4"/>
      <c r="D25" s="4" t="s">
        <v>83</v>
      </c>
      <c r="E25" s="6" t="s">
        <v>84</v>
      </c>
      <c r="F25" s="6">
        <f>F24*1/100</f>
        <v>7.6824000000000003</v>
      </c>
    </row>
    <row r="26" spans="1:6" x14ac:dyDescent="0.25">
      <c r="A26" s="4"/>
      <c r="B26" s="23"/>
      <c r="C26" s="4"/>
      <c r="D26" s="3" t="s">
        <v>34</v>
      </c>
      <c r="E26" s="28"/>
      <c r="F26" s="20">
        <f>F24+F25</f>
        <v>775.92240000000004</v>
      </c>
    </row>
    <row r="27" spans="1:6" ht="15.75" thickBot="1" x14ac:dyDescent="0.3">
      <c r="B27" s="35"/>
    </row>
    <row r="28" spans="1:6" ht="15.75" thickBot="1" x14ac:dyDescent="0.3">
      <c r="A28" s="16" t="s">
        <v>72</v>
      </c>
      <c r="B28" s="40"/>
      <c r="C28" s="18" t="s">
        <v>21</v>
      </c>
      <c r="D28" s="18" t="s">
        <v>73</v>
      </c>
      <c r="E28" s="52"/>
      <c r="F28" s="19">
        <f>F26/B23</f>
        <v>0.97723224181360202</v>
      </c>
    </row>
    <row r="29" spans="1:6" x14ac:dyDescent="0.25">
      <c r="B29" s="35"/>
    </row>
    <row r="30" spans="1:6" x14ac:dyDescent="0.25">
      <c r="B30" s="35"/>
    </row>
    <row r="31" spans="1:6" x14ac:dyDescent="0.25">
      <c r="A31" s="33" t="s">
        <v>85</v>
      </c>
      <c r="B31" s="35"/>
    </row>
    <row r="32" spans="1:6" x14ac:dyDescent="0.25">
      <c r="B32" s="35"/>
    </row>
    <row r="33" spans="1:6" x14ac:dyDescent="0.25">
      <c r="A33" s="30" t="s">
        <v>0</v>
      </c>
      <c r="B33" s="36" t="s">
        <v>61</v>
      </c>
      <c r="C33" s="31"/>
      <c r="D33" s="30" t="s">
        <v>1</v>
      </c>
      <c r="E33" s="30" t="s">
        <v>12</v>
      </c>
      <c r="F33" s="32" t="s">
        <v>2</v>
      </c>
    </row>
    <row r="34" spans="1:6" x14ac:dyDescent="0.25">
      <c r="A34" s="4" t="s">
        <v>62</v>
      </c>
      <c r="B34" s="23">
        <f>0.7*6</f>
        <v>4.1999999999999993</v>
      </c>
      <c r="C34" s="4"/>
      <c r="D34" s="4" t="s">
        <v>23</v>
      </c>
      <c r="E34" s="6" t="s">
        <v>86</v>
      </c>
      <c r="F34" s="6">
        <f>6*16.8</f>
        <v>100.80000000000001</v>
      </c>
    </row>
    <row r="35" spans="1:6" x14ac:dyDescent="0.25">
      <c r="A35" s="4" t="s">
        <v>87</v>
      </c>
      <c r="B35" s="23">
        <f>B34*12/100</f>
        <v>0.50399999999999989</v>
      </c>
      <c r="C35" s="4"/>
      <c r="D35" s="4" t="s">
        <v>77</v>
      </c>
      <c r="E35" s="6" t="s">
        <v>88</v>
      </c>
      <c r="F35" s="6">
        <f>F34*20/120</f>
        <v>16.8</v>
      </c>
    </row>
    <row r="36" spans="1:6" x14ac:dyDescent="0.25">
      <c r="A36" s="4" t="s">
        <v>51</v>
      </c>
      <c r="B36" s="23">
        <f>B34-B35</f>
        <v>3.6959999999999993</v>
      </c>
      <c r="C36" s="4"/>
      <c r="D36" s="4" t="s">
        <v>89</v>
      </c>
      <c r="E36" s="6"/>
      <c r="F36" s="6">
        <f>F34-F35</f>
        <v>84.000000000000014</v>
      </c>
    </row>
    <row r="37" spans="1:6" x14ac:dyDescent="0.25">
      <c r="A37" s="4" t="s">
        <v>8</v>
      </c>
      <c r="B37" s="23">
        <v>0.02</v>
      </c>
      <c r="C37" s="4"/>
      <c r="D37" s="4" t="s">
        <v>90</v>
      </c>
      <c r="E37" s="6" t="s">
        <v>91</v>
      </c>
      <c r="F37" s="6">
        <f>F36*16/100</f>
        <v>13.440000000000003</v>
      </c>
    </row>
    <row r="38" spans="1:6" x14ac:dyDescent="0.25">
      <c r="A38" s="4" t="s">
        <v>9</v>
      </c>
      <c r="B38" s="23">
        <f>B36/B37</f>
        <v>184.79999999999995</v>
      </c>
      <c r="C38" s="4"/>
      <c r="D38" s="4" t="s">
        <v>16</v>
      </c>
      <c r="E38" s="6"/>
      <c r="F38" s="6">
        <f>F36-F37</f>
        <v>70.560000000000016</v>
      </c>
    </row>
    <row r="39" spans="1:6" x14ac:dyDescent="0.25">
      <c r="A39" s="4" t="s">
        <v>66</v>
      </c>
      <c r="B39" s="8">
        <f>B38-0.8</f>
        <v>183.99999999999994</v>
      </c>
      <c r="C39" s="4"/>
      <c r="D39" s="4" t="s">
        <v>92</v>
      </c>
      <c r="E39" s="6" t="s">
        <v>93</v>
      </c>
      <c r="F39" s="6">
        <f>F38*2/100</f>
        <v>1.4112000000000002</v>
      </c>
    </row>
    <row r="40" spans="1:6" x14ac:dyDescent="0.25">
      <c r="A40" s="4"/>
      <c r="B40" s="23"/>
      <c r="C40" s="4"/>
      <c r="D40" s="4" t="s">
        <v>18</v>
      </c>
      <c r="E40" s="6"/>
      <c r="F40" s="6">
        <f>F38-F39</f>
        <v>69.148800000000023</v>
      </c>
    </row>
    <row r="41" spans="1:6" x14ac:dyDescent="0.25">
      <c r="A41" s="4"/>
      <c r="B41" s="23"/>
      <c r="C41" s="4"/>
      <c r="D41" s="4" t="s">
        <v>94</v>
      </c>
      <c r="E41" s="6" t="s">
        <v>95</v>
      </c>
      <c r="F41" s="6">
        <f>F40*2.5/100</f>
        <v>1.7287200000000007</v>
      </c>
    </row>
    <row r="42" spans="1:6" x14ac:dyDescent="0.25">
      <c r="A42" s="4"/>
      <c r="B42" s="2"/>
      <c r="C42" s="4"/>
      <c r="D42" s="3" t="s">
        <v>34</v>
      </c>
      <c r="E42" s="28"/>
      <c r="F42" s="20">
        <f>F40+F41</f>
        <v>70.877520000000018</v>
      </c>
    </row>
    <row r="43" spans="1:6" ht="15.75" thickBot="1" x14ac:dyDescent="0.3"/>
    <row r="44" spans="1:6" ht="15.75" thickBot="1" x14ac:dyDescent="0.3">
      <c r="A44" s="16" t="s">
        <v>96</v>
      </c>
      <c r="B44" s="17"/>
      <c r="C44" s="18" t="s">
        <v>21</v>
      </c>
      <c r="D44" s="18" t="s">
        <v>73</v>
      </c>
      <c r="E44" s="52"/>
      <c r="F44" s="19">
        <f>F42/B39</f>
        <v>0.38520391304347845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Speisen</vt:lpstr>
      <vt:lpstr>Speisen Bedarfsermittlung</vt:lpstr>
      <vt:lpstr>Getränke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Pöschl</dc:creator>
  <cp:lastModifiedBy>Franz Pöschl</cp:lastModifiedBy>
  <dcterms:created xsi:type="dcterms:W3CDTF">2018-02-18T08:47:25Z</dcterms:created>
  <dcterms:modified xsi:type="dcterms:W3CDTF">2018-06-13T14:39:36Z</dcterms:modified>
</cp:coreProperties>
</file>