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freie_dn.ebp1\Desktop\"/>
    </mc:Choice>
  </mc:AlternateContent>
  <xr:revisionPtr revIDLastSave="0" documentId="8_{47EAD351-5E6F-4406-8DA7-1337B6285C14}" xr6:coauthVersionLast="45" xr6:coauthVersionMax="45" xr10:uidLastSave="{00000000-0000-0000-0000-000000000000}"/>
  <bookViews>
    <workbookView xWindow="-19320" yWindow="690" windowWidth="19440" windowHeight="15000" activeTab="1" xr2:uid="{00000000-000D-0000-FFFF-FFFF00000000}"/>
  </bookViews>
  <sheets>
    <sheet name="K3" sheetId="1" r:id="rId1"/>
    <sheet name="Lohntabelle Gewerbe 2021" sheetId="7" r:id="rId2"/>
    <sheet name="Lohnnebenkosten" sheetId="5" r:id="rId3"/>
    <sheet name="Andere Lohnbestandteile" sheetId="4" r:id="rId4"/>
    <sheet name="Kalkulierte Mannschaft" sheetId="3" r:id="rId5"/>
    <sheet name="Materialaufstellung" sheetId="6" r:id="rId6"/>
    <sheet name="Aufzahlung für Mehrarbeit" sheetId="2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  <c r="H6" i="3"/>
  <c r="H13" i="6" l="1"/>
  <c r="H12" i="6"/>
  <c r="H11" i="6"/>
  <c r="H10" i="6"/>
  <c r="H9" i="6"/>
  <c r="F9" i="6"/>
  <c r="H7" i="6"/>
  <c r="H8" i="6"/>
  <c r="F8" i="6"/>
  <c r="F7" i="6"/>
  <c r="F6" i="6"/>
  <c r="F5" i="6"/>
  <c r="H5" i="6" s="1"/>
  <c r="F4" i="6"/>
  <c r="H4" i="6" s="1"/>
  <c r="C4" i="4"/>
  <c r="H6" i="6" l="1"/>
  <c r="C50" i="5"/>
  <c r="H14" i="6" l="1"/>
  <c r="G4" i="4"/>
  <c r="E12" i="3"/>
  <c r="M12" i="3" s="1"/>
  <c r="E6" i="3"/>
  <c r="E5" i="3"/>
  <c r="G5" i="3" s="1"/>
  <c r="I12" i="3" l="1"/>
  <c r="E9" i="3"/>
  <c r="E8" i="3"/>
  <c r="E7" i="3"/>
  <c r="E11" i="3" s="1"/>
  <c r="F17" i="3" s="1"/>
  <c r="H12" i="3" l="1"/>
  <c r="G12" i="3"/>
  <c r="J12" i="3" s="1"/>
  <c r="E14" i="3"/>
  <c r="F9" i="3"/>
  <c r="F18" i="3" l="1"/>
  <c r="G18" i="3" s="1"/>
  <c r="I18" i="3"/>
  <c r="K12" i="3"/>
  <c r="J5" i="3"/>
  <c r="J6" i="3"/>
  <c r="J7" i="3"/>
  <c r="J8" i="3"/>
  <c r="J9" i="3"/>
  <c r="C11" i="3"/>
  <c r="D11" i="3"/>
  <c r="C8" i="1" s="1"/>
  <c r="G9" i="3"/>
  <c r="G8" i="3"/>
  <c r="G7" i="3"/>
  <c r="G6" i="3"/>
  <c r="D10" i="1"/>
  <c r="B21" i="5" l="1"/>
  <c r="D21" i="5"/>
  <c r="C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6" i="5"/>
  <c r="E5" i="5"/>
  <c r="E7" i="5"/>
  <c r="H10" i="1"/>
  <c r="G10" i="1"/>
  <c r="F10" i="1"/>
  <c r="E10" i="1"/>
  <c r="K6" i="3"/>
  <c r="K7" i="3"/>
  <c r="K8" i="3"/>
  <c r="K9" i="3"/>
  <c r="K5" i="3"/>
  <c r="I6" i="3"/>
  <c r="I7" i="3"/>
  <c r="I8" i="3"/>
  <c r="I9" i="3"/>
  <c r="I5" i="3"/>
  <c r="H7" i="3"/>
  <c r="H8" i="3"/>
  <c r="H9" i="3"/>
  <c r="H11" i="3" l="1"/>
  <c r="G13" i="3" s="1"/>
  <c r="K11" i="3"/>
  <c r="M11" i="3" s="1"/>
  <c r="C34" i="5"/>
  <c r="F24" i="1" s="1"/>
  <c r="E21" i="5"/>
  <c r="F22" i="1"/>
  <c r="I11" i="3" l="1"/>
  <c r="H14" i="3"/>
  <c r="K14" i="3"/>
  <c r="F19" i="3" l="1"/>
  <c r="G19" i="3" s="1"/>
  <c r="F4" i="2"/>
  <c r="G13" i="1"/>
  <c r="G17" i="3"/>
  <c r="I19" i="3" l="1"/>
  <c r="F6" i="2"/>
  <c r="G6" i="2" s="1"/>
  <c r="F15" i="1"/>
  <c r="G15" i="1" s="1"/>
  <c r="C22" i="5" s="1"/>
  <c r="G5" i="4"/>
  <c r="G6" i="4" s="1"/>
  <c r="F17" i="1"/>
  <c r="G17" i="1" s="1"/>
  <c r="G21" i="1" l="1"/>
  <c r="F5" i="2"/>
  <c r="G5" i="2" s="1"/>
  <c r="G7" i="2" s="1"/>
  <c r="F8" i="2" s="1"/>
  <c r="G8" i="2" l="1"/>
  <c r="F18" i="1" s="1"/>
  <c r="G18" i="1" s="1"/>
  <c r="E23" i="5"/>
  <c r="F23" i="1" s="1"/>
  <c r="F20" i="1" l="1"/>
  <c r="G20" i="1" s="1"/>
  <c r="G24" i="1" l="1"/>
  <c r="F21" i="1"/>
  <c r="F25" i="1" s="1"/>
  <c r="D22" i="5"/>
  <c r="E22" i="5" s="1"/>
  <c r="G22" i="1"/>
  <c r="G23" i="1"/>
  <c r="G25" i="1" l="1"/>
  <c r="G26" i="1" s="1"/>
  <c r="G27" i="1" s="1"/>
  <c r="G15" i="6" s="1"/>
  <c r="H15" i="6" s="1"/>
  <c r="H16" i="6" s="1"/>
  <c r="H17" i="6" s="1"/>
  <c r="H18" i="6" s="1"/>
</calcChain>
</file>

<file path=xl/sharedStrings.xml><?xml version="1.0" encoding="utf-8"?>
<sst xmlns="http://schemas.openxmlformats.org/spreadsheetml/2006/main" count="328" uniqueCount="294">
  <si>
    <t xml:space="preserve">Formblatt </t>
  </si>
  <si>
    <t>K3</t>
  </si>
  <si>
    <t>Erstellt am</t>
  </si>
  <si>
    <t>Seite 1</t>
  </si>
  <si>
    <t>Montage</t>
  </si>
  <si>
    <t>Vorfertigung</t>
  </si>
  <si>
    <t>Preise in €</t>
  </si>
  <si>
    <t xml:space="preserve">Beschäftigungsgruppe laut KV vom </t>
  </si>
  <si>
    <t>Mittellohn</t>
  </si>
  <si>
    <t>Beschäftigte</t>
  </si>
  <si>
    <t>KV-Lohn</t>
  </si>
  <si>
    <t>Lehrling</t>
  </si>
  <si>
    <t>Prozent</t>
  </si>
  <si>
    <t>Bauprojekt</t>
  </si>
  <si>
    <t xml:space="preserve">Angebot Nr. </t>
  </si>
  <si>
    <t>Wochenar-beitszeit</t>
  </si>
  <si>
    <t>B Umlage</t>
  </si>
  <si>
    <t>C Zulage</t>
  </si>
  <si>
    <t>gemäß KV</t>
  </si>
  <si>
    <t>D Mehrlohn</t>
  </si>
  <si>
    <t>überkollektiv</t>
  </si>
  <si>
    <t>E Aufzahlung</t>
  </si>
  <si>
    <t>für Mehrarbeit</t>
  </si>
  <si>
    <t>F Aufzahlung</t>
  </si>
  <si>
    <t>für Erschwernis</t>
  </si>
  <si>
    <t>= Mittellohn</t>
  </si>
  <si>
    <t>Regielohn</t>
  </si>
  <si>
    <t>pro Stunde</t>
  </si>
  <si>
    <t>Überstundenmodell</t>
  </si>
  <si>
    <t>Anzahl</t>
  </si>
  <si>
    <t>Normal-stunden</t>
  </si>
  <si>
    <t>Verrechne-te Stunden</t>
  </si>
  <si>
    <t>Normalarbeitszeit</t>
  </si>
  <si>
    <t>Überstunden/Woche</t>
  </si>
  <si>
    <t>Normalstundensatz</t>
  </si>
  <si>
    <t>KV-Gruppe</t>
  </si>
  <si>
    <t>Bezeichnung</t>
  </si>
  <si>
    <t>%</t>
  </si>
  <si>
    <t>Summe</t>
  </si>
  <si>
    <t>Über KV je Stunde</t>
  </si>
  <si>
    <t>Über KV Betrag</t>
  </si>
  <si>
    <t>Facharbeiter</t>
  </si>
  <si>
    <t>Über KV-Lohn %</t>
  </si>
  <si>
    <t>1. Lehrjahr</t>
  </si>
  <si>
    <t>Lohn produktives Personal</t>
  </si>
  <si>
    <t xml:space="preserve"> </t>
  </si>
  <si>
    <t>Betrag</t>
  </si>
  <si>
    <t>Umlage unproduktives Personal</t>
  </si>
  <si>
    <t>Andere Lohnbestandteile</t>
  </si>
  <si>
    <t>Je</t>
  </si>
  <si>
    <t>Art der Lohn-bestandteile</t>
  </si>
  <si>
    <t>% der Be-legschaft</t>
  </si>
  <si>
    <t>abgaben-pflichtig</t>
  </si>
  <si>
    <t>nicht abga-benpflichtig</t>
  </si>
  <si>
    <t>Tag</t>
  </si>
  <si>
    <t>Tage pro Woche</t>
  </si>
  <si>
    <t>Direkte Lohnnebenkosten</t>
  </si>
  <si>
    <t>Arbeitslosenversicherung</t>
  </si>
  <si>
    <t>AGA zur Pensionsversicherung</t>
  </si>
  <si>
    <t>Krankenversicherung AGA</t>
  </si>
  <si>
    <t>Unfallversicherung</t>
  </si>
  <si>
    <t>Wohnbauförderungsbeitrag</t>
  </si>
  <si>
    <t>Betriebliche Mitarbeitervorsorge</t>
  </si>
  <si>
    <t>Dienstgeberbeitrag Familienlastenausgleichs-fonds</t>
  </si>
  <si>
    <t>Schlechtwetterent-schädigungsbeitrag</t>
  </si>
  <si>
    <t>in %</t>
  </si>
  <si>
    <t>Sozialver-sicherung</t>
  </si>
  <si>
    <t>Direkte Lohn-nebenkosten</t>
  </si>
  <si>
    <t>Umgelegte Lohnnebenkosten</t>
  </si>
  <si>
    <t>Bezahlte Feiertage</t>
  </si>
  <si>
    <t>Sonderfeiertage</t>
  </si>
  <si>
    <t>Bezahlte Urlaubstage</t>
  </si>
  <si>
    <t>Entgeltliche Freizeit (Amtswege)</t>
  </si>
  <si>
    <t>Entgeltfortzahlung Krankheit</t>
  </si>
  <si>
    <t>Behinderten Ausgleichstaxe</t>
  </si>
  <si>
    <t>Weihnachtsgeld</t>
  </si>
  <si>
    <t>Sozalabgaben vom Weihnachtsgeld</t>
  </si>
  <si>
    <t>Sozialabgaben unbezahlter Urlaub</t>
  </si>
  <si>
    <t>Ausfallzeiten Betriebsräte</t>
  </si>
  <si>
    <t>Betriebsversammlung</t>
  </si>
  <si>
    <t>Pflegefreistellung</t>
  </si>
  <si>
    <t>Kommunalsteuer f.Ausfalltage</t>
  </si>
  <si>
    <t>vom Mehrlohn</t>
  </si>
  <si>
    <t>von beidem</t>
  </si>
  <si>
    <t>Mehrlohnfaktor</t>
  </si>
  <si>
    <t>Bezahlte Freizeit</t>
  </si>
  <si>
    <t>Andere Lohn-bestandteile</t>
  </si>
  <si>
    <t>Bedeutung</t>
  </si>
  <si>
    <t>Zuschläge</t>
  </si>
  <si>
    <t>Mittlerer KV-Loh:Mittellohn</t>
  </si>
  <si>
    <t>Andere Lohn-gebundene Kosten</t>
  </si>
  <si>
    <t>Andere Lohngebundene Kosten:</t>
  </si>
  <si>
    <t>Kommunalsteuer</t>
  </si>
  <si>
    <t>Kleingeräte und Gerüste</t>
  </si>
  <si>
    <t>Haftpflichtversicherung</t>
  </si>
  <si>
    <t>Nebenmaterialien</t>
  </si>
  <si>
    <t>Lohnverrrechnung</t>
  </si>
  <si>
    <t>Andere Kosten</t>
  </si>
  <si>
    <t>Mittellohnberechnung</t>
  </si>
  <si>
    <t>mit gesamten Nebenkosten</t>
  </si>
  <si>
    <t>Verrechnete Kosten Pro Arbeitsstunde</t>
  </si>
  <si>
    <t>von Lohnkosten</t>
  </si>
  <si>
    <t>Übertrag in Tabelle K3</t>
  </si>
  <si>
    <t>aus Kosten-rechnung</t>
  </si>
  <si>
    <t>Gemeinkos-tenzuschlag</t>
  </si>
  <si>
    <t>Verwaltungs-kosten</t>
  </si>
  <si>
    <t xml:space="preserve">Aufschlag </t>
  </si>
  <si>
    <t>Faktor auf Ü-Zuschlag</t>
  </si>
  <si>
    <t>Durchschnittslohn/Stunde</t>
  </si>
  <si>
    <t>Qualif. Arbeitnehmer</t>
  </si>
  <si>
    <t>LG2</t>
  </si>
  <si>
    <t>LG3</t>
  </si>
  <si>
    <t>LG5</t>
  </si>
  <si>
    <t>42 Stunden</t>
  </si>
  <si>
    <t>38,5</t>
  </si>
  <si>
    <t>Mehrarbeit</t>
  </si>
  <si>
    <t xml:space="preserve"> SGE-Zulage</t>
  </si>
  <si>
    <t>% (von Regielohn)</t>
  </si>
  <si>
    <t>bezahlte Weihnachtsfeiertage</t>
  </si>
  <si>
    <t>Internatskosten Lehrlinge</t>
  </si>
  <si>
    <t>Sonstige Lohnnebenkosten</t>
  </si>
  <si>
    <t xml:space="preserve">Qualif. Facharbeter </t>
  </si>
  <si>
    <t>KV  Stundenlohn</t>
  </si>
  <si>
    <t>Entfernungszulage</t>
  </si>
  <si>
    <t>Schmutzzulage</t>
  </si>
  <si>
    <t>kleine Entfernungszulage</t>
  </si>
  <si>
    <t>große Enfernungsz.</t>
  </si>
  <si>
    <t>Nächtigungsgeld</t>
  </si>
  <si>
    <t>Erschwerniszulage</t>
  </si>
  <si>
    <t>Gefahrenzulage</t>
  </si>
  <si>
    <t>Nachtarbeitszulage</t>
  </si>
  <si>
    <t>Schichtzulage 2. Schicht</t>
  </si>
  <si>
    <t>Schichtzulage 3. Schicht</t>
  </si>
  <si>
    <t>Montagezulage</t>
  </si>
  <si>
    <t xml:space="preserve">LG Techniker </t>
  </si>
  <si>
    <t xml:space="preserve">LG 1 Spitzenfacharbeiter </t>
  </si>
  <si>
    <t xml:space="preserve">LG 2 Qualifizierter Facharbeiter </t>
  </si>
  <si>
    <t xml:space="preserve">LG 3 Facharbeiter </t>
  </si>
  <si>
    <t xml:space="preserve">LG 4 Besonders qualifizierter Arbeitnehmer </t>
  </si>
  <si>
    <t xml:space="preserve">LG 5 Qualifizierter Arbeitnehmer </t>
  </si>
  <si>
    <t xml:space="preserve">LG 6 Arbeitnehmer mit Zweckausbildung </t>
  </si>
  <si>
    <t xml:space="preserve">LG 7 Arbeitnehmer ohne Zweckausbildung </t>
  </si>
  <si>
    <t>Beschäftigung</t>
  </si>
  <si>
    <t>Überkollektiv Lohn</t>
  </si>
  <si>
    <t>Kollektiv-Mittellohn</t>
  </si>
  <si>
    <t>mittlere Entf.Z.</t>
  </si>
  <si>
    <t>Progress</t>
  </si>
  <si>
    <t>Lohngruppe 1</t>
  </si>
  <si>
    <t>Lohngruppe 5</t>
  </si>
  <si>
    <t>Aufzahlung für Mehrarbeit G8</t>
  </si>
  <si>
    <t>Techniker</t>
  </si>
  <si>
    <t xml:space="preserve">Bauaufsicht </t>
  </si>
  <si>
    <t xml:space="preserve">Gesamtlohn mit Bauaufsicht </t>
  </si>
  <si>
    <t>Kollektivvertragliche Löhne</t>
  </si>
  <si>
    <t xml:space="preserve">Lehrling </t>
  </si>
  <si>
    <t>2. Lehrjahr</t>
  </si>
  <si>
    <t>3. Lehrjahr</t>
  </si>
  <si>
    <t>4. Lehrjahr</t>
  </si>
  <si>
    <t>Kollektivvertragliche Zulagen und Nächtigungsgeld ab 2018</t>
  </si>
  <si>
    <t>mittlere Entfernungszulage</t>
  </si>
  <si>
    <t>große Entfernungszulage</t>
  </si>
  <si>
    <t>22 - 6 Uhr</t>
  </si>
  <si>
    <t>Schichtzulage</t>
  </si>
  <si>
    <t>2. Schicht</t>
  </si>
  <si>
    <t>3. Schicht</t>
  </si>
  <si>
    <t>Spitzenfacharbeiter 12 Jahre Betriebszugehörigkeit</t>
  </si>
  <si>
    <t>LG 1 (H)</t>
  </si>
  <si>
    <t>Lohngruppe 2</t>
  </si>
  <si>
    <t>Lohngruppe 3</t>
  </si>
  <si>
    <t>Kalkulierte Mannschaft I 18</t>
  </si>
  <si>
    <t>Durchschnittlicher Stundenlohn</t>
  </si>
  <si>
    <t>Summe Istlöhne</t>
  </si>
  <si>
    <t>Stunden-lohn</t>
  </si>
  <si>
    <t>Monats-lohn KV</t>
  </si>
  <si>
    <t>Entfernungs-zulage</t>
  </si>
  <si>
    <t>Kommunal-steuer u.a.</t>
  </si>
  <si>
    <t>% vom Mittellohn</t>
  </si>
  <si>
    <t>Erfahrungswert</t>
  </si>
  <si>
    <t>Durch-schnitt</t>
  </si>
  <si>
    <t>Aufschlag pro Stunde</t>
  </si>
  <si>
    <t>Lohnnebenkosten aus bezahlter Freizeit und Sozialabgaben</t>
  </si>
  <si>
    <t>Nebenkosten die auch lohnbezogen anfallen</t>
  </si>
  <si>
    <t>Erläuterung:</t>
  </si>
  <si>
    <t>Diese Kosten sind Erfahrungswerte des Betriebes</t>
  </si>
  <si>
    <t>K 3 Formblatt, Feld F23</t>
  </si>
  <si>
    <t>K3 Formblatt, Feld G 21</t>
  </si>
  <si>
    <t>Mannschaftsstärke x zustehende Entfernungszulage x Arbeitstage x Wochen pro Monat</t>
  </si>
  <si>
    <t>((2.432,38 : 5) : 38,5) : 4,33 =2,92</t>
  </si>
  <si>
    <t>2.432,38 dividiert durch</t>
  </si>
  <si>
    <t>Arbeitsstunden der Mannschaft</t>
  </si>
  <si>
    <t>Erläuterungen:</t>
  </si>
  <si>
    <t>Spalte C =</t>
  </si>
  <si>
    <t>Beschäftigungsausmaß der Person</t>
  </si>
  <si>
    <t>Spalte D =</t>
  </si>
  <si>
    <t>Anzahl der in dieser Kategorie beschäftigten Personen</t>
  </si>
  <si>
    <t>Spalte E =</t>
  </si>
  <si>
    <t>Spalte F =</t>
  </si>
  <si>
    <t>tatsächlicher (überkollektiv) - Lohn</t>
  </si>
  <si>
    <t>Spalte G =</t>
  </si>
  <si>
    <t>Lohn pro Stunde (Monatslohn : Arbeitsstunden pro Monat)</t>
  </si>
  <si>
    <t>Spalte H =</t>
  </si>
  <si>
    <t>Tatsächlicher Montatslohn x Zahl der Personen der Kategorie</t>
  </si>
  <si>
    <t>Spalte I =</t>
  </si>
  <si>
    <t>Überkollektivvertraglicher Lohn in Prozent</t>
  </si>
  <si>
    <t>Spalte J =</t>
  </si>
  <si>
    <t>Überkollekitvvertraglicher Lohn in € uro pro Stunde</t>
  </si>
  <si>
    <t>Spalte K =</t>
  </si>
  <si>
    <t>Überkollekitvvertraglicher Lohn pro Monat in €uro</t>
  </si>
  <si>
    <t>Spalte M =</t>
  </si>
  <si>
    <t>Prüfziffern</t>
  </si>
  <si>
    <t>In Formblatt K3 Zelle G 13</t>
  </si>
  <si>
    <t>G13</t>
  </si>
  <si>
    <t>F 15</t>
  </si>
  <si>
    <t>F17</t>
  </si>
  <si>
    <t>In Formblatt K 3, Zelle G13</t>
  </si>
  <si>
    <t>In Formblatt K3, Zelle F 15</t>
  </si>
  <si>
    <t>In Formblatt K3, Zelle F 17</t>
  </si>
  <si>
    <t>Insolvenzentgeltsicherung</t>
  </si>
  <si>
    <t>In Formblatt K 3, Zelle F22</t>
  </si>
  <si>
    <t>In Formblatt K 3, Feld F 24</t>
  </si>
  <si>
    <t>In Formblatt K 3, Zelle F18</t>
  </si>
  <si>
    <t>Aufzahlung für Mehrarbeit und Überstunden</t>
  </si>
  <si>
    <t>Überstun-denzahlung</t>
  </si>
  <si>
    <t>Zuschlag %</t>
  </si>
  <si>
    <t xml:space="preserve">Allerdings werden sie in den meisten Fällen durch Zeitausgleich binnen 4 Monaten ausgeglichen werden. </t>
  </si>
  <si>
    <t xml:space="preserve">In der vorliegenden Kalkulation wurden sie noch berücksichtigt um zu zeigen, wie sich Überstunden auswirken. </t>
  </si>
  <si>
    <r>
      <rPr>
        <b/>
        <sz val="12"/>
        <color rgb="FFFF0000"/>
        <rFont val="Calibri"/>
        <family val="2"/>
      </rPr>
      <t>Anmerkung</t>
    </r>
    <r>
      <rPr>
        <sz val="12"/>
        <color rgb="FFFF0000"/>
        <rFont val="Calibri"/>
        <family val="2"/>
      </rPr>
      <t>: Gemäß dem Arbeitszeitgesetz ab 1.9. 2018 können Überstunden weiterhin angeordnet werden.</t>
    </r>
  </si>
  <si>
    <t>Gegenstand</t>
  </si>
  <si>
    <t>Gesamtpreis</t>
  </si>
  <si>
    <t>Position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</si>
  <si>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</si>
  <si>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</si>
  <si>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</si>
  <si>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</si>
  <si>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</si>
  <si>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</si>
  <si>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</si>
  <si>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</si>
  <si>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</si>
  <si>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</si>
  <si>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1.19</t>
  </si>
  <si>
    <t>Materialkosten gesamt</t>
  </si>
  <si>
    <t>Arbeitsstunden</t>
  </si>
  <si>
    <t>Netto - Angebotspreis</t>
  </si>
  <si>
    <t>zuzüglich 20 % Umsatzsteuer</t>
  </si>
  <si>
    <t>Gesamtbetrag =</t>
  </si>
  <si>
    <t>Kalkulierte Mannschaft Metallbau</t>
  </si>
  <si>
    <t>Istlohn €</t>
  </si>
  <si>
    <t>Kalkulierte Mannschaft J19</t>
  </si>
  <si>
    <t>Lohnnebenkos-ten E 24</t>
  </si>
  <si>
    <t>Lohnnebenkos-ten C35</t>
  </si>
  <si>
    <t>Lohnneben-kosten C51</t>
  </si>
  <si>
    <t>Andere Lohnbestand-teile G6</t>
  </si>
  <si>
    <t>m/m²</t>
  </si>
  <si>
    <t>Preis pro Tonne</t>
  </si>
  <si>
    <t>IPE Träger 200</t>
  </si>
  <si>
    <t>kg pro m</t>
  </si>
  <si>
    <t>Gewicht kg</t>
  </si>
  <si>
    <t>HEA Träger HEA 260</t>
  </si>
  <si>
    <t>HEB Träger HEB 400</t>
  </si>
  <si>
    <t>Meter</t>
  </si>
  <si>
    <t>Flachstahl 40 x 6 Fl 406</t>
  </si>
  <si>
    <t>Flachstahl 140 x 20 Fl 14020</t>
  </si>
  <si>
    <t>Feinbleche 250x250x0,75</t>
  </si>
  <si>
    <t>Lochbleche 3000 x 1500 x1</t>
  </si>
  <si>
    <t>Garagentorbleche 2500 x 1210, MF1GTDx</t>
  </si>
  <si>
    <t>Formrohre verzinkt 40 x 40 x 2, FR 40402Z</t>
  </si>
  <si>
    <t>Winkelprofile WP40403</t>
  </si>
  <si>
    <t>50 % Zuschlag auf Stundenlohn</t>
  </si>
  <si>
    <t>50 % Zuschlag auf Monatslohn/Stundenteiler 143</t>
  </si>
  <si>
    <t>Materialaufstellung und  Angebot</t>
  </si>
  <si>
    <t>(Die Prozentsätze stammen von den Berechnungen der Wirtschaftskammer)</t>
  </si>
  <si>
    <t>von Mehrarbeit</t>
  </si>
  <si>
    <t>Tabelle</t>
  </si>
  <si>
    <t>Metallbau</t>
  </si>
  <si>
    <t>Hajo Beispiel</t>
  </si>
  <si>
    <t>Lehrling 1. Lehrjahr</t>
  </si>
  <si>
    <t>Berechnung</t>
  </si>
  <si>
    <t>Lohn gemäß gültigem Gewerbe-Kollektivvertrag - wird aus der Lohntabelle automatisch übernommen. Bei Industriebetrieben können statt dessen auch die Industrie-KV Löhne eingesetzt werden.</t>
  </si>
  <si>
    <t>Durchschnittsstundenlohn der Mannschaft</t>
  </si>
  <si>
    <t>Mehrkosten durch übertarifliche Bezahlung</t>
  </si>
  <si>
    <t>Mehrkosten durch längere Arbeitszeiten</t>
  </si>
  <si>
    <t>Mehrkosten durch Entfernungszulage</t>
  </si>
  <si>
    <t>Lohnnebenkosten durch bezahlte Freizeit und Sonderzahlungen</t>
  </si>
  <si>
    <t xml:space="preserve">Zuschlagssatz aus der Kostenrechnung in dem sowohl Gewinn als auch etwaige Rabatte inkludiert sind. </t>
  </si>
  <si>
    <t>Auf den Stundenlohn umgelegte Kosten der Bauaufsicht</t>
  </si>
  <si>
    <t>Durchschnittslohn inklusive Mehrkosten</t>
  </si>
  <si>
    <t>Gesetzliche Sozialabgaben</t>
  </si>
  <si>
    <t>Andere Kosten, deren Höhe  maßgeblich von den Löhnen bestimmt sind</t>
  </si>
  <si>
    <t>Selbstkosten einer Arbeitsstunde</t>
  </si>
  <si>
    <t>SEG-Zulagen könnten auch einbezogen werden</t>
  </si>
  <si>
    <t>Tabelle der aktuellen Löhne nach Kollektivvertrag 2021</t>
  </si>
  <si>
    <t>ab 2021:</t>
  </si>
  <si>
    <t>0326/2021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</si>
</sst>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.00\ &quot;€&quot;"/>
    <numFmt numFmtId="165" formatCode="#,##0.000_ ;\-#,##0.000\ "/>
    <numFmt numFmtId="166" formatCode="0.000%"/>
    <numFmt numFmtId="167" formatCode="_-* #,##0.00\ [$€-407]_-;\-* #,##0.00\ [$€-407]_-;_-* &quot;-&quot;??\ [$€-407]_-;_-@_-"/>
    <numFmt numFmtId="168" formatCode="#,##0.00_ ;\-#,##0.00\ "/>
    <numFmt numFmtId="169" formatCode="_-[$€-C07]\ * #,##0.00_-;\-[$€-C07]\ * #,##0.00_-;_-[$€-C07]\ * &quot;-&quot;??_-;_-@_-"/>
  </numFmts>
  <fonts count="1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6"/>
      <color rgb="FFFF0000"/>
      <name val="Calibri"/>
      <family val="2"/>
    </font>
    <font>
      <b/>
      <sz val="11"/>
      <color rgb="FF00B050"/>
      <name val="Calibri"/>
      <family val="2"/>
    </font>
    <font>
      <b/>
      <sz val="10"/>
      <color rgb="FF00B050"/>
      <name val="Calibri"/>
      <family val="2"/>
    </font>
    <font>
      <sz val="12"/>
      <color rgb="FFFF0000"/>
      <name val="Calibri"/>
      <family val="2"/>
    </font>
    <font>
      <sz val="10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5">
    <xf numFmtId="0" fontId="0" fillId="0" borderId="0" xfId="0"/>
    <xf numFmtId="14" fontId="0" fillId="0" borderId="0" xfId="0" applyNumberFormat="1"/>
    <xf numFmtId="0" fontId="3" fillId="0" borderId="0" xfId="0" applyFont="1"/>
    <xf numFmtId="49" fontId="0" fillId="0" borderId="0" xfId="0" applyNumberFormat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10" fontId="0" fillId="0" borderId="1" xfId="0" applyNumberFormat="1" applyBorder="1"/>
    <xf numFmtId="49" fontId="0" fillId="0" borderId="3" xfId="0" applyNumberFormat="1" applyBorder="1" applyAlignment="1">
      <alignment wrapText="1"/>
    </xf>
    <xf numFmtId="9" fontId="0" fillId="0" borderId="0" xfId="2" applyFont="1"/>
    <xf numFmtId="2" fontId="0" fillId="0" borderId="0" xfId="0" applyNumberFormat="1"/>
    <xf numFmtId="0" fontId="0" fillId="0" borderId="0" xfId="0" applyAlignment="1">
      <alignment horizontal="centerContinuous"/>
    </xf>
    <xf numFmtId="0" fontId="0" fillId="0" borderId="1" xfId="0" applyBorder="1" applyAlignment="1">
      <alignment horizontal="centerContinuous"/>
    </xf>
    <xf numFmtId="2" fontId="0" fillId="0" borderId="1" xfId="0" applyNumberFormat="1" applyBorder="1"/>
    <xf numFmtId="44" fontId="0" fillId="0" borderId="1" xfId="0" applyNumberFormat="1" applyBorder="1"/>
    <xf numFmtId="164" fontId="0" fillId="0" borderId="1" xfId="0" applyNumberFormat="1" applyBorder="1"/>
    <xf numFmtId="0" fontId="2" fillId="0" borderId="1" xfId="0" applyFont="1" applyBorder="1"/>
    <xf numFmtId="49" fontId="2" fillId="3" borderId="1" xfId="0" applyNumberFormat="1" applyFont="1" applyFill="1" applyBorder="1" applyAlignment="1">
      <alignment wrapText="1"/>
    </xf>
    <xf numFmtId="0" fontId="0" fillId="3" borderId="1" xfId="0" applyFill="1" applyBorder="1"/>
    <xf numFmtId="0" fontId="0" fillId="3" borderId="0" xfId="0" applyFill="1"/>
    <xf numFmtId="49" fontId="0" fillId="3" borderId="1" xfId="0" applyNumberFormat="1" applyFill="1" applyBorder="1" applyAlignment="1">
      <alignment wrapText="1"/>
    </xf>
    <xf numFmtId="0" fontId="0" fillId="3" borderId="1" xfId="0" applyFill="1" applyBorder="1" applyAlignment="1">
      <alignment wrapText="1"/>
    </xf>
    <xf numFmtId="10" fontId="0" fillId="3" borderId="1" xfId="0" applyNumberFormat="1" applyFill="1" applyBorder="1"/>
    <xf numFmtId="44" fontId="0" fillId="3" borderId="1" xfId="1" applyFont="1" applyFill="1" applyBorder="1"/>
    <xf numFmtId="10" fontId="0" fillId="3" borderId="0" xfId="0" applyNumberFormat="1" applyFill="1"/>
    <xf numFmtId="164" fontId="2" fillId="3" borderId="1" xfId="0" applyNumberFormat="1" applyFont="1" applyFill="1" applyBorder="1"/>
    <xf numFmtId="10" fontId="0" fillId="3" borderId="1" xfId="2" applyNumberFormat="1" applyFont="1" applyFill="1" applyBorder="1"/>
    <xf numFmtId="164" fontId="0" fillId="3" borderId="1" xfId="0" applyNumberFormat="1" applyFill="1" applyBorder="1"/>
    <xf numFmtId="49" fontId="0" fillId="4" borderId="1" xfId="0" applyNumberFormat="1" applyFill="1" applyBorder="1" applyAlignment="1">
      <alignment wrapText="1"/>
    </xf>
    <xf numFmtId="0" fontId="0" fillId="4" borderId="1" xfId="0" applyFill="1" applyBorder="1"/>
    <xf numFmtId="49" fontId="0" fillId="4" borderId="1" xfId="0" applyNumberFormat="1" applyFill="1" applyBorder="1" applyAlignment="1">
      <alignment horizontal="centerContinuous"/>
    </xf>
    <xf numFmtId="0" fontId="0" fillId="4" borderId="0" xfId="0" applyFill="1"/>
    <xf numFmtId="49" fontId="0" fillId="4" borderId="0" xfId="0" applyNumberFormat="1" applyFill="1" applyAlignment="1">
      <alignment wrapText="1"/>
    </xf>
    <xf numFmtId="49" fontId="2" fillId="4" borderId="0" xfId="0" applyNumberFormat="1" applyFont="1" applyFill="1" applyAlignment="1">
      <alignment wrapText="1"/>
    </xf>
    <xf numFmtId="0" fontId="2" fillId="4" borderId="0" xfId="0" applyFont="1" applyFill="1"/>
    <xf numFmtId="14" fontId="0" fillId="4" borderId="0" xfId="0" applyNumberFormat="1" applyFill="1"/>
    <xf numFmtId="49" fontId="0" fillId="4" borderId="1" xfId="0" applyNumberFormat="1" applyFill="1" applyBorder="1"/>
    <xf numFmtId="9" fontId="0" fillId="4" borderId="1" xfId="0" applyNumberFormat="1" applyFill="1" applyBorder="1"/>
    <xf numFmtId="49" fontId="4" fillId="0" borderId="0" xfId="0" applyNumberFormat="1" applyFont="1" applyAlignment="1"/>
    <xf numFmtId="0" fontId="3" fillId="6" borderId="0" xfId="0" applyFont="1" applyFill="1"/>
    <xf numFmtId="0" fontId="0" fillId="6" borderId="0" xfId="0" applyFill="1"/>
    <xf numFmtId="0" fontId="2" fillId="7" borderId="1" xfId="0" applyFont="1" applyFill="1" applyBorder="1"/>
    <xf numFmtId="0" fontId="0" fillId="9" borderId="1" xfId="0" applyFill="1" applyBorder="1"/>
    <xf numFmtId="164" fontId="2" fillId="0" borderId="0" xfId="0" applyNumberFormat="1" applyFont="1" applyBorder="1"/>
    <xf numFmtId="10" fontId="0" fillId="10" borderId="1" xfId="2" applyNumberFormat="1" applyFont="1" applyFill="1" applyBorder="1"/>
    <xf numFmtId="0" fontId="0" fillId="0" borderId="1" xfId="0" applyBorder="1" applyAlignment="1">
      <alignment horizontal="center"/>
    </xf>
    <xf numFmtId="49" fontId="3" fillId="2" borderId="1" xfId="0" applyNumberFormat="1" applyFont="1" applyFill="1" applyBorder="1" applyAlignment="1">
      <alignment wrapText="1"/>
    </xf>
    <xf numFmtId="10" fontId="3" fillId="2" borderId="1" xfId="0" applyNumberFormat="1" applyFont="1" applyFill="1" applyBorder="1"/>
    <xf numFmtId="164" fontId="3" fillId="2" borderId="1" xfId="0" applyNumberFormat="1" applyFont="1" applyFill="1" applyBorder="1"/>
    <xf numFmtId="0" fontId="0" fillId="5" borderId="1" xfId="0" applyFill="1" applyBorder="1"/>
    <xf numFmtId="164" fontId="3" fillId="5" borderId="1" xfId="0" applyNumberFormat="1" applyFont="1" applyFill="1" applyBorder="1"/>
    <xf numFmtId="0" fontId="0" fillId="5" borderId="4" xfId="0" applyFill="1" applyBorder="1"/>
    <xf numFmtId="49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49" fontId="3" fillId="5" borderId="2" xfId="0" applyNumberFormat="1" applyFont="1" applyFill="1" applyBorder="1" applyAlignment="1"/>
    <xf numFmtId="49" fontId="3" fillId="5" borderId="3" xfId="0" applyNumberFormat="1" applyFont="1" applyFill="1" applyBorder="1" applyAlignment="1"/>
    <xf numFmtId="44" fontId="2" fillId="8" borderId="1" xfId="1" applyFont="1" applyFill="1" applyBorder="1"/>
    <xf numFmtId="2" fontId="0" fillId="4" borderId="1" xfId="0" applyNumberFormat="1" applyFill="1" applyBorder="1"/>
    <xf numFmtId="49" fontId="0" fillId="2" borderId="1" xfId="0" applyNumberFormat="1" applyFill="1" applyBorder="1" applyAlignment="1">
      <alignment wrapText="1"/>
    </xf>
    <xf numFmtId="0" fontId="0" fillId="0" borderId="0" xfId="0" applyAlignment="1">
      <alignment wrapText="1"/>
    </xf>
    <xf numFmtId="10" fontId="0" fillId="0" borderId="0" xfId="0" applyNumberFormat="1"/>
    <xf numFmtId="10" fontId="2" fillId="11" borderId="1" xfId="2" applyNumberFormat="1" applyFont="1" applyFill="1" applyBorder="1"/>
    <xf numFmtId="0" fontId="0" fillId="2" borderId="0" xfId="0" applyFill="1"/>
    <xf numFmtId="2" fontId="2" fillId="2" borderId="1" xfId="0" applyNumberFormat="1" applyFont="1" applyFill="1" applyBorder="1"/>
    <xf numFmtId="0" fontId="3" fillId="2" borderId="0" xfId="0" applyFont="1" applyFill="1"/>
    <xf numFmtId="49" fontId="0" fillId="4" borderId="1" xfId="0" applyNumberFormat="1" applyFill="1" applyBorder="1" applyAlignment="1">
      <alignment horizontal="centerContinuous" wrapText="1"/>
    </xf>
    <xf numFmtId="0" fontId="0" fillId="4" borderId="1" xfId="0" applyFill="1" applyBorder="1" applyAlignment="1">
      <alignment wrapText="1"/>
    </xf>
    <xf numFmtId="10" fontId="0" fillId="0" borderId="1" xfId="2" applyNumberFormat="1" applyFont="1" applyBorder="1"/>
    <xf numFmtId="0" fontId="2" fillId="0" borderId="0" xfId="0" applyFont="1"/>
    <xf numFmtId="49" fontId="2" fillId="12" borderId="1" xfId="0" applyNumberFormat="1" applyFont="1" applyFill="1" applyBorder="1" applyAlignment="1">
      <alignment wrapText="1"/>
    </xf>
    <xf numFmtId="2" fontId="2" fillId="12" borderId="1" xfId="0" applyNumberFormat="1" applyFont="1" applyFill="1" applyBorder="1"/>
    <xf numFmtId="2" fontId="0" fillId="11" borderId="4" xfId="0" applyNumberFormat="1" applyFill="1" applyBorder="1"/>
    <xf numFmtId="0" fontId="0" fillId="11" borderId="4" xfId="0" applyFill="1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11" borderId="0" xfId="0" applyFill="1" applyBorder="1"/>
    <xf numFmtId="49" fontId="2" fillId="0" borderId="1" xfId="0" applyNumberFormat="1" applyFont="1" applyBorder="1" applyAlignment="1">
      <alignment wrapText="1"/>
    </xf>
    <xf numFmtId="0" fontId="0" fillId="9" borderId="1" xfId="0" applyFill="1" applyBorder="1" applyAlignment="1">
      <alignment wrapText="1"/>
    </xf>
    <xf numFmtId="2" fontId="2" fillId="0" borderId="1" xfId="0" applyNumberFormat="1" applyFont="1" applyBorder="1"/>
    <xf numFmtId="167" fontId="0" fillId="0" borderId="1" xfId="0" applyNumberFormat="1" applyBorder="1"/>
    <xf numFmtId="167" fontId="0" fillId="0" borderId="0" xfId="0" applyNumberFormat="1"/>
    <xf numFmtId="0" fontId="0" fillId="0" borderId="0" xfId="0" applyFill="1" applyBorder="1"/>
    <xf numFmtId="168" fontId="0" fillId="0" borderId="1" xfId="0" applyNumberFormat="1" applyBorder="1"/>
    <xf numFmtId="166" fontId="0" fillId="0" borderId="0" xfId="2" applyNumberFormat="1" applyFont="1"/>
    <xf numFmtId="167" fontId="0" fillId="3" borderId="1" xfId="1" applyNumberFormat="1" applyFont="1" applyFill="1" applyBorder="1"/>
    <xf numFmtId="9" fontId="0" fillId="14" borderId="1" xfId="0" applyNumberFormat="1" applyFill="1" applyBorder="1"/>
    <xf numFmtId="2" fontId="0" fillId="12" borderId="0" xfId="0" applyNumberFormat="1" applyFill="1" applyBorder="1"/>
    <xf numFmtId="0" fontId="0" fillId="12" borderId="0" xfId="0" applyFill="1" applyBorder="1" applyAlignment="1">
      <alignment wrapText="1"/>
    </xf>
    <xf numFmtId="0" fontId="0" fillId="12" borderId="0" xfId="0" applyFill="1" applyBorder="1"/>
    <xf numFmtId="0" fontId="6" fillId="0" borderId="0" xfId="0" applyFont="1"/>
    <xf numFmtId="0" fontId="9" fillId="0" borderId="0" xfId="0" applyFont="1"/>
    <xf numFmtId="166" fontId="2" fillId="0" borderId="0" xfId="0" applyNumberFormat="1" applyFont="1" applyFill="1"/>
    <xf numFmtId="165" fontId="2" fillId="7" borderId="5" xfId="0" applyNumberFormat="1" applyFont="1" applyFill="1" applyBorder="1"/>
    <xf numFmtId="166" fontId="2" fillId="9" borderId="12" xfId="0" applyNumberFormat="1" applyFont="1" applyFill="1" applyBorder="1"/>
    <xf numFmtId="0" fontId="10" fillId="0" borderId="13" xfId="0" applyFont="1" applyBorder="1"/>
    <xf numFmtId="0" fontId="10" fillId="0" borderId="14" xfId="0" applyFont="1" applyBorder="1"/>
    <xf numFmtId="10" fontId="2" fillId="13" borderId="15" xfId="0" applyNumberFormat="1" applyFont="1" applyFill="1" applyBorder="1"/>
    <xf numFmtId="2" fontId="0" fillId="0" borderId="5" xfId="0" applyNumberFormat="1" applyBorder="1"/>
    <xf numFmtId="2" fontId="0" fillId="9" borderId="15" xfId="0" applyNumberFormat="1" applyFill="1" applyBorder="1"/>
    <xf numFmtId="0" fontId="10" fillId="0" borderId="14" xfId="0" applyFont="1" applyBorder="1" applyAlignment="1">
      <alignment wrapText="1"/>
    </xf>
    <xf numFmtId="49" fontId="0" fillId="0" borderId="0" xfId="0" applyNumberFormat="1"/>
    <xf numFmtId="49" fontId="11" fillId="0" borderId="0" xfId="0" applyNumberFormat="1" applyFont="1" applyAlignment="1">
      <alignment wrapText="1"/>
    </xf>
    <xf numFmtId="169" fontId="0" fillId="0" borderId="1" xfId="0" applyNumberFormat="1" applyBorder="1"/>
    <xf numFmtId="49" fontId="0" fillId="0" borderId="2" xfId="0" applyNumberFormat="1" applyBorder="1" applyAlignment="1">
      <alignment wrapText="1"/>
    </xf>
    <xf numFmtId="49" fontId="0" fillId="0" borderId="8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167" fontId="0" fillId="0" borderId="5" xfId="0" applyNumberFormat="1" applyBorder="1"/>
    <xf numFmtId="10" fontId="0" fillId="0" borderId="5" xfId="2" applyNumberFormat="1" applyFont="1" applyBorder="1"/>
    <xf numFmtId="2" fontId="2" fillId="12" borderId="16" xfId="0" applyNumberFormat="1" applyFont="1" applyFill="1" applyBorder="1"/>
    <xf numFmtId="167" fontId="2" fillId="13" borderId="16" xfId="0" applyNumberFormat="1" applyFont="1" applyFill="1" applyBorder="1"/>
    <xf numFmtId="0" fontId="2" fillId="0" borderId="16" xfId="0" applyFont="1" applyBorder="1"/>
    <xf numFmtId="167" fontId="2" fillId="2" borderId="12" xfId="0" applyNumberFormat="1" applyFont="1" applyFill="1" applyBorder="1"/>
    <xf numFmtId="167" fontId="2" fillId="2" borderId="13" xfId="0" applyNumberFormat="1" applyFont="1" applyFill="1" applyBorder="1"/>
    <xf numFmtId="167" fontId="2" fillId="2" borderId="14" xfId="0" applyNumberFormat="1" applyFont="1" applyFill="1" applyBorder="1"/>
    <xf numFmtId="0" fontId="0" fillId="16" borderId="1" xfId="0" applyFill="1" applyBorder="1"/>
    <xf numFmtId="2" fontId="0" fillId="3" borderId="1" xfId="0" applyNumberFormat="1" applyFill="1" applyBorder="1"/>
    <xf numFmtId="2" fontId="0" fillId="10" borderId="1" xfId="0" applyNumberFormat="1" applyFill="1" applyBorder="1"/>
    <xf numFmtId="0" fontId="0" fillId="10" borderId="1" xfId="0" applyFill="1" applyBorder="1"/>
    <xf numFmtId="49" fontId="0" fillId="16" borderId="1" xfId="0" applyNumberFormat="1" applyFill="1" applyBorder="1" applyAlignment="1">
      <alignment wrapText="1"/>
    </xf>
    <xf numFmtId="9" fontId="0" fillId="16" borderId="1" xfId="0" applyNumberFormat="1" applyFill="1" applyBorder="1"/>
    <xf numFmtId="10" fontId="0" fillId="16" borderId="1" xfId="0" applyNumberFormat="1" applyFill="1" applyBorder="1"/>
    <xf numFmtId="0" fontId="0" fillId="16" borderId="2" xfId="0" applyFill="1" applyBorder="1"/>
    <xf numFmtId="10" fontId="0" fillId="16" borderId="5" xfId="0" applyNumberFormat="1" applyFill="1" applyBorder="1"/>
    <xf numFmtId="10" fontId="2" fillId="15" borderId="11" xfId="0" applyNumberFormat="1" applyFont="1" applyFill="1" applyBorder="1"/>
    <xf numFmtId="0" fontId="0" fillId="12" borderId="1" xfId="0" applyFill="1" applyBorder="1"/>
    <xf numFmtId="0" fontId="0" fillId="12" borderId="16" xfId="0" applyFill="1" applyBorder="1"/>
    <xf numFmtId="0" fontId="5" fillId="17" borderId="0" xfId="0" applyFont="1" applyFill="1"/>
    <xf numFmtId="49" fontId="3" fillId="4" borderId="1" xfId="0" applyNumberFormat="1" applyFont="1" applyFill="1" applyBorder="1" applyAlignment="1">
      <alignment wrapText="1"/>
    </xf>
    <xf numFmtId="44" fontId="0" fillId="4" borderId="1" xfId="1" applyFont="1" applyFill="1" applyBorder="1"/>
    <xf numFmtId="0" fontId="0" fillId="11" borderId="0" xfId="0" applyFill="1"/>
    <xf numFmtId="2" fontId="0" fillId="4" borderId="1" xfId="2" applyNumberFormat="1" applyFont="1" applyFill="1" applyBorder="1"/>
    <xf numFmtId="0" fontId="7" fillId="0" borderId="0" xfId="0" applyFont="1"/>
    <xf numFmtId="0" fontId="12" fillId="12" borderId="0" xfId="0" applyFont="1" applyFill="1" applyBorder="1"/>
    <xf numFmtId="0" fontId="12" fillId="4" borderId="0" xfId="0" applyFont="1" applyFill="1" applyBorder="1"/>
    <xf numFmtId="164" fontId="0" fillId="0" borderId="0" xfId="0" applyNumberFormat="1"/>
    <xf numFmtId="49" fontId="0" fillId="0" borderId="1" xfId="0" applyNumberFormat="1" applyBorder="1"/>
    <xf numFmtId="169" fontId="2" fillId="0" borderId="1" xfId="0" applyNumberFormat="1" applyFont="1" applyBorder="1"/>
    <xf numFmtId="169" fontId="0" fillId="5" borderId="1" xfId="0" applyNumberFormat="1" applyFill="1" applyBorder="1"/>
    <xf numFmtId="0" fontId="5" fillId="0" borderId="11" xfId="0" applyFont="1" applyBorder="1"/>
    <xf numFmtId="0" fontId="0" fillId="0" borderId="13" xfId="0" applyBorder="1"/>
    <xf numFmtId="0" fontId="0" fillId="0" borderId="14" xfId="0" applyBorder="1"/>
    <xf numFmtId="16" fontId="2" fillId="0" borderId="1" xfId="0" applyNumberFormat="1" applyFont="1" applyBorder="1"/>
    <xf numFmtId="0" fontId="2" fillId="0" borderId="1" xfId="0" applyFont="1" applyBorder="1" applyAlignment="1">
      <alignment wrapText="1"/>
    </xf>
    <xf numFmtId="169" fontId="2" fillId="2" borderId="1" xfId="0" applyNumberFormat="1" applyFont="1" applyFill="1" applyBorder="1"/>
    <xf numFmtId="0" fontId="2" fillId="0" borderId="0" xfId="0" applyFont="1" applyBorder="1"/>
    <xf numFmtId="2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5" fillId="0" borderId="0" xfId="0" applyFont="1"/>
    <xf numFmtId="0" fontId="13" fillId="0" borderId="0" xfId="0" applyFont="1"/>
    <xf numFmtId="10" fontId="0" fillId="0" borderId="5" xfId="0" applyNumberFormat="1" applyBorder="1"/>
    <xf numFmtId="49" fontId="13" fillId="0" borderId="1" xfId="0" applyNumberFormat="1" applyFont="1" applyBorder="1" applyAlignment="1">
      <alignment wrapText="1"/>
    </xf>
    <xf numFmtId="49" fontId="13" fillId="2" borderId="1" xfId="0" applyNumberFormat="1" applyFont="1" applyFill="1" applyBorder="1" applyAlignment="1">
      <alignment wrapText="1"/>
    </xf>
    <xf numFmtId="49" fontId="0" fillId="12" borderId="8" xfId="0" applyNumberFormat="1" applyFill="1" applyBorder="1"/>
    <xf numFmtId="49" fontId="0" fillId="12" borderId="0" xfId="0" applyNumberFormat="1" applyFill="1" applyBorder="1"/>
    <xf numFmtId="49" fontId="0" fillId="12" borderId="0" xfId="0" applyNumberFormat="1" applyFill="1"/>
    <xf numFmtId="49" fontId="0" fillId="12" borderId="8" xfId="0" applyNumberFormat="1" applyFill="1" applyBorder="1" applyAlignment="1">
      <alignment wrapText="1"/>
    </xf>
    <xf numFmtId="0" fontId="2" fillId="2" borderId="1" xfId="0" applyFont="1" applyFill="1" applyBorder="1"/>
    <xf numFmtId="0" fontId="0" fillId="0" borderId="2" xfId="0" applyBorder="1" applyAlignment="1">
      <alignment wrapText="1"/>
    </xf>
    <xf numFmtId="0" fontId="0" fillId="0" borderId="4" xfId="0" applyBorder="1" applyAlignment="1"/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/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27"/>
  <sheetViews>
    <sheetView topLeftCell="A4" workbookViewId="0">
      <selection activeCell="C7" sqref="C7"/>
    </sheetView>
  </sheetViews>
  <sheetFormatPr baseColWidth="10" defaultRowHeight="15" x14ac:dyDescent="0.25"/>
  <cols>
    <col min="1" max="1" width="13.140625" style="3" customWidth="1"/>
    <col min="2" max="2" width="14.7109375" style="3" customWidth="1"/>
    <col min="3" max="3" width="14.5703125" customWidth="1"/>
    <col min="4" max="4" width="7.42578125" customWidth="1"/>
    <col min="9" max="9" width="46.28515625" style="104" customWidth="1"/>
    <col min="18" max="28" width="11.42578125" customWidth="1"/>
  </cols>
  <sheetData>
    <row r="3" spans="1:9" ht="21" x14ac:dyDescent="0.35">
      <c r="A3" s="38" t="s">
        <v>98</v>
      </c>
      <c r="B3" s="38"/>
      <c r="E3" t="s">
        <v>0</v>
      </c>
      <c r="F3" s="2" t="s">
        <v>1</v>
      </c>
    </row>
    <row r="4" spans="1:9" x14ac:dyDescent="0.25">
      <c r="E4" t="s">
        <v>2</v>
      </c>
      <c r="F4" s="1">
        <v>44232</v>
      </c>
      <c r="G4" t="s">
        <v>3</v>
      </c>
    </row>
    <row r="5" spans="1:9" x14ac:dyDescent="0.25">
      <c r="A5" s="28" t="s">
        <v>13</v>
      </c>
      <c r="B5" s="58" t="s">
        <v>274</v>
      </c>
      <c r="C5" s="160" t="s">
        <v>275</v>
      </c>
      <c r="D5" s="29"/>
      <c r="E5" s="29" t="s">
        <v>4</v>
      </c>
      <c r="F5" s="30" t="s">
        <v>146</v>
      </c>
      <c r="G5" s="29"/>
      <c r="H5" s="29"/>
      <c r="I5" s="156"/>
    </row>
    <row r="6" spans="1:9" x14ac:dyDescent="0.25">
      <c r="A6" s="28" t="s">
        <v>14</v>
      </c>
      <c r="B6" s="28"/>
      <c r="C6" s="29" t="s">
        <v>293</v>
      </c>
      <c r="D6" s="29"/>
      <c r="E6" s="29" t="s">
        <v>5</v>
      </c>
      <c r="F6" s="30">
        <v>0</v>
      </c>
      <c r="G6" s="29"/>
      <c r="H6" s="29" t="s">
        <v>6</v>
      </c>
      <c r="I6" s="157"/>
    </row>
    <row r="7" spans="1:9" x14ac:dyDescent="0.25">
      <c r="A7" s="32"/>
      <c r="B7" s="32"/>
      <c r="C7" s="31"/>
      <c r="D7" s="31"/>
      <c r="E7" s="31"/>
      <c r="F7" s="31"/>
      <c r="G7" s="31"/>
      <c r="H7" s="31"/>
      <c r="I7" s="158"/>
    </row>
    <row r="8" spans="1:9" x14ac:dyDescent="0.25">
      <c r="A8" s="33" t="s">
        <v>9</v>
      </c>
      <c r="B8" s="33"/>
      <c r="C8" s="31">
        <f>'Kalkulierte Mannschaft'!D11</f>
        <v>8</v>
      </c>
      <c r="D8" s="31"/>
      <c r="E8" s="34" t="s">
        <v>7</v>
      </c>
      <c r="F8" s="31"/>
      <c r="G8" s="31"/>
      <c r="H8" s="35">
        <v>43221</v>
      </c>
      <c r="I8" s="158"/>
    </row>
    <row r="9" spans="1:9" ht="30" x14ac:dyDescent="0.25">
      <c r="A9" s="28" t="s">
        <v>15</v>
      </c>
      <c r="B9" s="28" t="s">
        <v>113</v>
      </c>
      <c r="C9" s="36" t="s">
        <v>114</v>
      </c>
      <c r="D9" s="65" t="s">
        <v>147</v>
      </c>
      <c r="E9" s="65" t="s">
        <v>167</v>
      </c>
      <c r="F9" s="65" t="s">
        <v>168</v>
      </c>
      <c r="G9" s="65" t="s">
        <v>148</v>
      </c>
      <c r="H9" s="66" t="s">
        <v>276</v>
      </c>
      <c r="I9" s="159"/>
    </row>
    <row r="10" spans="1:9" x14ac:dyDescent="0.25">
      <c r="A10" s="28"/>
      <c r="B10" s="29" t="s">
        <v>10</v>
      </c>
      <c r="C10" s="29"/>
      <c r="D10" s="57">
        <f>'Kalkulierte Mannschaft'!G5</f>
        <v>17.753166833166834</v>
      </c>
      <c r="E10" s="57">
        <f>'Kalkulierte Mannschaft'!G6</f>
        <v>15.836043956043957</v>
      </c>
      <c r="F10" s="57">
        <f>'Kalkulierte Mannschaft'!G7</f>
        <v>13.744735264735263</v>
      </c>
      <c r="G10" s="57">
        <f>'Kalkulierte Mannschaft'!G8</f>
        <v>12.245934065934065</v>
      </c>
      <c r="H10" s="57">
        <f>'Kalkulierte Mannschaft'!G9</f>
        <v>4.2072527472527472</v>
      </c>
      <c r="I10" s="156"/>
    </row>
    <row r="11" spans="1:9" x14ac:dyDescent="0.25">
      <c r="A11" s="28"/>
      <c r="B11" s="29" t="s">
        <v>142</v>
      </c>
      <c r="C11" s="29"/>
      <c r="D11" s="37">
        <v>1</v>
      </c>
      <c r="E11" s="37">
        <v>1</v>
      </c>
      <c r="F11" s="37">
        <v>1</v>
      </c>
      <c r="G11" s="37">
        <v>1</v>
      </c>
      <c r="H11" s="37">
        <v>1</v>
      </c>
      <c r="I11" s="157"/>
    </row>
    <row r="13" spans="1:9" x14ac:dyDescent="0.25">
      <c r="E13" s="16" t="s">
        <v>26</v>
      </c>
      <c r="F13" s="7">
        <v>1</v>
      </c>
      <c r="G13" s="56">
        <f>'Kalkulierte Mannschaft'!G13</f>
        <v>13.633296841726402</v>
      </c>
      <c r="I13" s="104" t="s">
        <v>279</v>
      </c>
    </row>
    <row r="14" spans="1:9" x14ac:dyDescent="0.25">
      <c r="A14" s="17" t="s">
        <v>88</v>
      </c>
      <c r="B14" s="18" t="s">
        <v>87</v>
      </c>
      <c r="C14" s="17" t="s">
        <v>273</v>
      </c>
      <c r="D14" s="18"/>
      <c r="E14" s="19" t="s">
        <v>277</v>
      </c>
      <c r="F14" s="19"/>
      <c r="G14" s="19"/>
    </row>
    <row r="15" spans="1:9" ht="45" x14ac:dyDescent="0.25">
      <c r="A15" s="20" t="s">
        <v>16</v>
      </c>
      <c r="B15" s="21" t="s">
        <v>151</v>
      </c>
      <c r="C15" s="20" t="s">
        <v>169</v>
      </c>
      <c r="D15" s="18"/>
      <c r="E15" s="20" t="s">
        <v>117</v>
      </c>
      <c r="F15" s="22">
        <f>'Kalkulierte Mannschaft'!I18</f>
        <v>0.1520003157354663</v>
      </c>
      <c r="G15" s="88">
        <f>G13*F15</f>
        <v>2.0722654244577488</v>
      </c>
      <c r="I15" s="3" t="s">
        <v>285</v>
      </c>
    </row>
    <row r="16" spans="1:9" x14ac:dyDescent="0.25">
      <c r="A16" s="20" t="s">
        <v>17</v>
      </c>
      <c r="B16" s="18" t="s">
        <v>18</v>
      </c>
      <c r="C16" s="20"/>
      <c r="D16" s="18"/>
      <c r="E16" s="18"/>
      <c r="F16" s="22"/>
      <c r="G16" s="23"/>
    </row>
    <row r="17" spans="1:9" ht="30" x14ac:dyDescent="0.25">
      <c r="A17" s="20" t="s">
        <v>19</v>
      </c>
      <c r="B17" s="18" t="s">
        <v>20</v>
      </c>
      <c r="C17" s="20" t="s">
        <v>248</v>
      </c>
      <c r="D17" s="18"/>
      <c r="E17" s="20" t="s">
        <v>117</v>
      </c>
      <c r="F17" s="22">
        <f>'Kalkulierte Mannschaft'!I19</f>
        <v>6.0289993712615099E-2</v>
      </c>
      <c r="G17" s="23">
        <f>G13*F17</f>
        <v>0.82195138086990005</v>
      </c>
      <c r="I17" s="104" t="s">
        <v>280</v>
      </c>
    </row>
    <row r="18" spans="1:9" ht="30" x14ac:dyDescent="0.25">
      <c r="A18" s="20" t="s">
        <v>21</v>
      </c>
      <c r="B18" s="18" t="s">
        <v>22</v>
      </c>
      <c r="C18" s="20" t="s">
        <v>149</v>
      </c>
      <c r="D18" s="18"/>
      <c r="E18" s="20" t="s">
        <v>117</v>
      </c>
      <c r="F18" s="24">
        <f>'Aufzahlung für Mehrarbeit'!G8</f>
        <v>5.3507326007326009E-2</v>
      </c>
      <c r="G18" s="23">
        <f>G13*F18</f>
        <v>0.72948125866490265</v>
      </c>
      <c r="I18" s="104" t="s">
        <v>281</v>
      </c>
    </row>
    <row r="19" spans="1:9" x14ac:dyDescent="0.25">
      <c r="A19" s="20" t="s">
        <v>23</v>
      </c>
      <c r="B19" s="18" t="s">
        <v>24</v>
      </c>
      <c r="C19" s="20" t="s">
        <v>116</v>
      </c>
      <c r="D19" s="18"/>
      <c r="E19" s="18" t="s">
        <v>45</v>
      </c>
      <c r="F19" s="22" t="s">
        <v>45</v>
      </c>
      <c r="G19" s="23" t="s">
        <v>45</v>
      </c>
      <c r="I19" s="104" t="s">
        <v>290</v>
      </c>
    </row>
    <row r="20" spans="1:9" x14ac:dyDescent="0.25">
      <c r="A20" s="17" t="s">
        <v>25</v>
      </c>
      <c r="B20" s="18" t="s">
        <v>27</v>
      </c>
      <c r="C20" s="17"/>
      <c r="D20" s="18"/>
      <c r="E20" s="18"/>
      <c r="F20" s="22">
        <f>SUM(F13:F19)</f>
        <v>1.2657976354554075</v>
      </c>
      <c r="G20" s="25">
        <f>G13*F20</f>
        <v>17.256994905718955</v>
      </c>
      <c r="I20" s="104" t="s">
        <v>286</v>
      </c>
    </row>
    <row r="21" spans="1:9" ht="45" x14ac:dyDescent="0.25">
      <c r="A21" s="20" t="s">
        <v>86</v>
      </c>
      <c r="B21" s="20" t="s">
        <v>174</v>
      </c>
      <c r="C21" s="20" t="s">
        <v>252</v>
      </c>
      <c r="D21" s="18"/>
      <c r="E21" s="20" t="s">
        <v>176</v>
      </c>
      <c r="F21" s="26">
        <f>G21/G20</f>
        <v>7.0515354702911967E-2</v>
      </c>
      <c r="G21" s="23">
        <f>'Andere Lohnbestandteile'!G6</f>
        <v>1.2168831168831169</v>
      </c>
      <c r="I21" s="104" t="s">
        <v>282</v>
      </c>
    </row>
    <row r="22" spans="1:9" ht="30" x14ac:dyDescent="0.25">
      <c r="A22" s="20" t="s">
        <v>67</v>
      </c>
      <c r="B22" s="20" t="s">
        <v>66</v>
      </c>
      <c r="C22" s="20" t="s">
        <v>251</v>
      </c>
      <c r="D22" s="18"/>
      <c r="E22" s="20" t="s">
        <v>176</v>
      </c>
      <c r="F22" s="22">
        <f>Lohnnebenkosten!C50</f>
        <v>0.27110000000000001</v>
      </c>
      <c r="G22" s="27">
        <f>G20*F22</f>
        <v>4.6783713189404086</v>
      </c>
      <c r="I22" s="104" t="s">
        <v>287</v>
      </c>
    </row>
    <row r="23" spans="1:9" ht="45" x14ac:dyDescent="0.25">
      <c r="A23" s="20" t="s">
        <v>68</v>
      </c>
      <c r="B23" s="20" t="s">
        <v>85</v>
      </c>
      <c r="C23" s="20" t="s">
        <v>249</v>
      </c>
      <c r="D23" s="18"/>
      <c r="E23" s="20" t="s">
        <v>176</v>
      </c>
      <c r="F23" s="22">
        <f>Lohnnebenkosten!E23</f>
        <v>0.623</v>
      </c>
      <c r="G23" s="27">
        <f>G20*F23</f>
        <v>10.751107826262908</v>
      </c>
      <c r="I23" s="3" t="s">
        <v>283</v>
      </c>
    </row>
    <row r="24" spans="1:9" ht="45" x14ac:dyDescent="0.25">
      <c r="A24" s="20" t="s">
        <v>90</v>
      </c>
      <c r="B24" s="20" t="s">
        <v>175</v>
      </c>
      <c r="C24" s="20" t="s">
        <v>250</v>
      </c>
      <c r="D24" s="18"/>
      <c r="E24" s="20" t="s">
        <v>176</v>
      </c>
      <c r="F24" s="22">
        <f>Lohnnebenkosten!C34</f>
        <v>0.12759999999999999</v>
      </c>
      <c r="G24" s="27">
        <f>G20*F24</f>
        <v>2.2019925499697384</v>
      </c>
      <c r="I24" s="3" t="s">
        <v>288</v>
      </c>
    </row>
    <row r="25" spans="1:9" ht="30" x14ac:dyDescent="0.25">
      <c r="A25" s="46" t="s">
        <v>8</v>
      </c>
      <c r="B25" s="5" t="s">
        <v>99</v>
      </c>
      <c r="C25" s="4"/>
      <c r="D25" s="4"/>
      <c r="E25" s="4"/>
      <c r="F25" s="47">
        <f>SUM(F20:F24)</f>
        <v>2.3580129901583193</v>
      </c>
      <c r="G25" s="48">
        <f>SUM(G20:G24)</f>
        <v>36.105349717775127</v>
      </c>
      <c r="I25" s="104" t="s">
        <v>289</v>
      </c>
    </row>
    <row r="26" spans="1:9" ht="45" x14ac:dyDescent="0.25">
      <c r="A26" s="52" t="s">
        <v>104</v>
      </c>
      <c r="B26" s="52" t="s">
        <v>105</v>
      </c>
      <c r="C26" s="53" t="s">
        <v>103</v>
      </c>
      <c r="D26" s="4"/>
      <c r="E26" s="5" t="s">
        <v>177</v>
      </c>
      <c r="F26" s="89">
        <v>0.25</v>
      </c>
      <c r="G26" s="15">
        <f>G25*F26</f>
        <v>9.0263374294437817</v>
      </c>
      <c r="I26" s="3" t="s">
        <v>284</v>
      </c>
    </row>
    <row r="27" spans="1:9" ht="15.75" x14ac:dyDescent="0.25">
      <c r="A27" s="54" t="s">
        <v>100</v>
      </c>
      <c r="B27" s="55"/>
      <c r="C27" s="51"/>
      <c r="D27" s="51"/>
      <c r="E27" s="49"/>
      <c r="F27" s="49"/>
      <c r="G27" s="50">
        <f>G25+G26</f>
        <v>45.131687147218912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"/>
  <sheetViews>
    <sheetView tabSelected="1" workbookViewId="0">
      <selection activeCell="E28" sqref="E28"/>
    </sheetView>
  </sheetViews>
  <sheetFormatPr baseColWidth="10" defaultRowHeight="15" x14ac:dyDescent="0.25"/>
  <cols>
    <col min="1" max="1" width="29.5703125" customWidth="1"/>
    <col min="2" max="2" width="12.140625" customWidth="1"/>
  </cols>
  <sheetData>
    <row r="1" spans="1:3" ht="18.75" x14ac:dyDescent="0.3">
      <c r="A1" s="93" t="s">
        <v>291</v>
      </c>
    </row>
    <row r="3" spans="1:3" x14ac:dyDescent="0.25">
      <c r="A3" s="68" t="s">
        <v>153</v>
      </c>
      <c r="C3" s="68" t="s">
        <v>292</v>
      </c>
    </row>
    <row r="4" spans="1:3" x14ac:dyDescent="0.25">
      <c r="A4" s="74" t="s">
        <v>134</v>
      </c>
      <c r="B4" s="75"/>
      <c r="C4" s="71">
        <v>3235.12</v>
      </c>
    </row>
    <row r="5" spans="1:3" x14ac:dyDescent="0.25">
      <c r="A5" s="76" t="s">
        <v>135</v>
      </c>
      <c r="B5" s="73"/>
      <c r="C5" s="71">
        <v>2961.82</v>
      </c>
    </row>
    <row r="6" spans="1:3" x14ac:dyDescent="0.25">
      <c r="A6" s="76" t="s">
        <v>136</v>
      </c>
      <c r="B6" s="73"/>
      <c r="C6" s="71">
        <v>2641.98</v>
      </c>
    </row>
    <row r="7" spans="1:3" x14ac:dyDescent="0.25">
      <c r="A7" s="76" t="s">
        <v>137</v>
      </c>
      <c r="B7" s="73"/>
      <c r="C7" s="71">
        <v>2293.08</v>
      </c>
    </row>
    <row r="8" spans="1:3" x14ac:dyDescent="0.25">
      <c r="A8" s="76" t="s">
        <v>138</v>
      </c>
      <c r="B8" s="73"/>
      <c r="C8" s="71">
        <v>2145.7600000000002</v>
      </c>
    </row>
    <row r="9" spans="1:3" x14ac:dyDescent="0.25">
      <c r="A9" s="76" t="s">
        <v>139</v>
      </c>
      <c r="B9" s="73"/>
      <c r="C9" s="71">
        <v>2043.03</v>
      </c>
    </row>
    <row r="10" spans="1:3" x14ac:dyDescent="0.25">
      <c r="A10" s="76" t="s">
        <v>140</v>
      </c>
      <c r="B10" s="73"/>
      <c r="C10" s="71">
        <v>2000</v>
      </c>
    </row>
    <row r="11" spans="1:3" x14ac:dyDescent="0.25">
      <c r="A11" s="76" t="s">
        <v>141</v>
      </c>
      <c r="B11" s="73"/>
      <c r="C11" s="71">
        <v>2000</v>
      </c>
    </row>
    <row r="12" spans="1:3" x14ac:dyDescent="0.25">
      <c r="A12" s="76"/>
      <c r="B12" s="73"/>
      <c r="C12" s="72"/>
    </row>
    <row r="13" spans="1:3" x14ac:dyDescent="0.25">
      <c r="A13" s="76" t="s">
        <v>154</v>
      </c>
      <c r="B13" s="73" t="s">
        <v>43</v>
      </c>
      <c r="C13" s="72">
        <v>701.91</v>
      </c>
    </row>
    <row r="14" spans="1:3" x14ac:dyDescent="0.25">
      <c r="A14" s="76" t="s">
        <v>154</v>
      </c>
      <c r="B14" s="73" t="s">
        <v>155</v>
      </c>
      <c r="C14" s="72">
        <v>883.88</v>
      </c>
    </row>
    <row r="15" spans="1:3" x14ac:dyDescent="0.25">
      <c r="A15" s="76" t="s">
        <v>154</v>
      </c>
      <c r="B15" s="73" t="s">
        <v>156</v>
      </c>
      <c r="C15" s="72">
        <v>1164.6500000000001</v>
      </c>
    </row>
    <row r="16" spans="1:3" x14ac:dyDescent="0.25">
      <c r="A16" s="77" t="s">
        <v>154</v>
      </c>
      <c r="B16" s="78" t="s">
        <v>157</v>
      </c>
      <c r="C16" s="72">
        <v>1549.4</v>
      </c>
    </row>
    <row r="18" spans="1:3" x14ac:dyDescent="0.25">
      <c r="A18" s="68" t="s">
        <v>158</v>
      </c>
    </row>
    <row r="19" spans="1:3" x14ac:dyDescent="0.25">
      <c r="A19" t="s">
        <v>125</v>
      </c>
      <c r="C19" s="79">
        <v>9.3699999999999992</v>
      </c>
    </row>
    <row r="20" spans="1:3" x14ac:dyDescent="0.25">
      <c r="A20" t="s">
        <v>159</v>
      </c>
      <c r="C20" s="79">
        <v>24.6</v>
      </c>
    </row>
    <row r="21" spans="1:3" x14ac:dyDescent="0.25">
      <c r="A21" t="s">
        <v>160</v>
      </c>
      <c r="C21" s="79">
        <v>49.18</v>
      </c>
    </row>
    <row r="22" spans="1:3" x14ac:dyDescent="0.25">
      <c r="A22" t="s">
        <v>127</v>
      </c>
      <c r="C22" s="79">
        <v>17.489999999999998</v>
      </c>
    </row>
    <row r="23" spans="1:3" x14ac:dyDescent="0.25">
      <c r="A23" t="s">
        <v>124</v>
      </c>
      <c r="B23" t="s">
        <v>27</v>
      </c>
      <c r="C23" s="79">
        <v>0.58199999999999996</v>
      </c>
    </row>
    <row r="24" spans="1:3" x14ac:dyDescent="0.25">
      <c r="A24" t="s">
        <v>128</v>
      </c>
      <c r="B24" t="s">
        <v>27</v>
      </c>
      <c r="C24" s="79">
        <v>0.58199999999999996</v>
      </c>
    </row>
    <row r="25" spans="1:3" x14ac:dyDescent="0.25">
      <c r="A25" t="s">
        <v>129</v>
      </c>
      <c r="B25" t="s">
        <v>27</v>
      </c>
      <c r="C25" s="79">
        <v>0.59199999999999997</v>
      </c>
    </row>
    <row r="26" spans="1:3" x14ac:dyDescent="0.25">
      <c r="A26" t="s">
        <v>130</v>
      </c>
      <c r="B26" t="s">
        <v>161</v>
      </c>
      <c r="C26" s="79">
        <v>2.39</v>
      </c>
    </row>
    <row r="27" spans="1:3" x14ac:dyDescent="0.25">
      <c r="A27" t="s">
        <v>162</v>
      </c>
      <c r="B27" t="s">
        <v>163</v>
      </c>
      <c r="C27" s="79">
        <v>0.51500000000000001</v>
      </c>
    </row>
    <row r="28" spans="1:3" x14ac:dyDescent="0.25">
      <c r="A28" t="s">
        <v>162</v>
      </c>
      <c r="B28" t="s">
        <v>164</v>
      </c>
      <c r="C28" s="79">
        <v>2.39</v>
      </c>
    </row>
    <row r="29" spans="1:3" x14ac:dyDescent="0.25">
      <c r="A29" t="s">
        <v>133</v>
      </c>
      <c r="C29" s="79">
        <v>0.89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1"/>
  <sheetViews>
    <sheetView topLeftCell="A22" workbookViewId="0">
      <selection activeCell="C47" sqref="C47"/>
    </sheetView>
  </sheetViews>
  <sheetFormatPr baseColWidth="10" defaultRowHeight="15" x14ac:dyDescent="0.25"/>
  <cols>
    <col min="1" max="1" width="35.140625" customWidth="1"/>
    <col min="2" max="2" width="14.42578125" customWidth="1"/>
    <col min="16" max="24" width="11.42578125" customWidth="1"/>
  </cols>
  <sheetData>
    <row r="1" spans="1:5" ht="21" x14ac:dyDescent="0.35">
      <c r="A1" s="94" t="s">
        <v>180</v>
      </c>
    </row>
    <row r="3" spans="1:5" ht="18.75" x14ac:dyDescent="0.3">
      <c r="A3" s="151" t="s">
        <v>68</v>
      </c>
      <c r="B3" s="152" t="s">
        <v>271</v>
      </c>
    </row>
    <row r="4" spans="1:5" ht="30" x14ac:dyDescent="0.25">
      <c r="B4" s="59" t="s">
        <v>272</v>
      </c>
      <c r="D4" s="59" t="s">
        <v>82</v>
      </c>
      <c r="E4" t="s">
        <v>83</v>
      </c>
    </row>
    <row r="5" spans="1:5" x14ac:dyDescent="0.25">
      <c r="A5" s="4" t="s">
        <v>69</v>
      </c>
      <c r="B5" s="7">
        <v>4.6800000000000001E-2</v>
      </c>
      <c r="D5" s="4"/>
      <c r="E5" s="7">
        <f>B5</f>
        <v>4.6800000000000001E-2</v>
      </c>
    </row>
    <row r="6" spans="1:5" x14ac:dyDescent="0.25">
      <c r="A6" s="4" t="s">
        <v>118</v>
      </c>
      <c r="B6" s="4"/>
      <c r="D6" s="7">
        <v>2.1899999999999999E-2</v>
      </c>
      <c r="E6" s="7">
        <f>D6</f>
        <v>2.1899999999999999E-2</v>
      </c>
    </row>
    <row r="7" spans="1:5" x14ac:dyDescent="0.25">
      <c r="A7" s="4" t="s">
        <v>70</v>
      </c>
      <c r="B7" s="7">
        <v>3.0999999999999999E-3</v>
      </c>
      <c r="D7" s="4"/>
      <c r="E7" s="7">
        <f>B7</f>
        <v>3.0999999999999999E-3</v>
      </c>
    </row>
    <row r="8" spans="1:5" x14ac:dyDescent="0.25">
      <c r="A8" s="4" t="s">
        <v>71</v>
      </c>
      <c r="B8" s="4"/>
      <c r="D8" s="7">
        <v>0.2666</v>
      </c>
      <c r="E8" s="7">
        <f>D8</f>
        <v>0.2666</v>
      </c>
    </row>
    <row r="9" spans="1:5" x14ac:dyDescent="0.25">
      <c r="A9" s="4" t="s">
        <v>72</v>
      </c>
      <c r="B9" s="4"/>
      <c r="D9" s="7">
        <v>1.5900000000000001E-2</v>
      </c>
      <c r="E9" s="7">
        <f>D9</f>
        <v>1.5900000000000001E-2</v>
      </c>
    </row>
    <row r="10" spans="1:5" x14ac:dyDescent="0.25">
      <c r="A10" s="4" t="s">
        <v>73</v>
      </c>
      <c r="B10" s="7">
        <v>6.4600000000000005E-2</v>
      </c>
      <c r="D10" s="4"/>
      <c r="E10" s="7">
        <f>B10</f>
        <v>6.4600000000000005E-2</v>
      </c>
    </row>
    <row r="11" spans="1:5" x14ac:dyDescent="0.25">
      <c r="A11" s="4" t="s">
        <v>74</v>
      </c>
      <c r="B11" s="4"/>
      <c r="D11" s="7">
        <v>1.6000000000000001E-3</v>
      </c>
      <c r="E11" s="7">
        <f>D11</f>
        <v>1.6000000000000001E-3</v>
      </c>
    </row>
    <row r="12" spans="1:5" x14ac:dyDescent="0.25">
      <c r="A12" s="4" t="s">
        <v>75</v>
      </c>
      <c r="B12" s="4"/>
      <c r="C12" s="7">
        <v>0.1041</v>
      </c>
      <c r="E12" s="7">
        <f>C12</f>
        <v>0.1041</v>
      </c>
    </row>
    <row r="13" spans="1:5" x14ac:dyDescent="0.25">
      <c r="A13" s="4" t="s">
        <v>76</v>
      </c>
      <c r="B13" s="4"/>
      <c r="C13" s="7">
        <v>5.9799999999999999E-2</v>
      </c>
      <c r="E13" s="7">
        <f>C13</f>
        <v>5.9799999999999999E-2</v>
      </c>
    </row>
    <row r="14" spans="1:5" x14ac:dyDescent="0.25">
      <c r="A14" s="4" t="s">
        <v>77</v>
      </c>
      <c r="B14" s="7">
        <v>2.5000000000000001E-3</v>
      </c>
      <c r="D14" s="4"/>
      <c r="E14" s="7">
        <f>B14</f>
        <v>2.5000000000000001E-3</v>
      </c>
    </row>
    <row r="15" spans="1:5" x14ac:dyDescent="0.25">
      <c r="A15" s="4" t="s">
        <v>78</v>
      </c>
      <c r="B15" s="4"/>
      <c r="D15" s="7">
        <v>8.0000000000000002E-3</v>
      </c>
      <c r="E15" s="7">
        <f>D15</f>
        <v>8.0000000000000002E-3</v>
      </c>
    </row>
    <row r="16" spans="1:5" x14ac:dyDescent="0.25">
      <c r="A16" s="4" t="s">
        <v>79</v>
      </c>
      <c r="B16" s="4"/>
      <c r="D16" s="7">
        <v>1.1999999999999999E-3</v>
      </c>
      <c r="E16" s="7">
        <f>D16</f>
        <v>1.1999999999999999E-3</v>
      </c>
    </row>
    <row r="17" spans="1:7" x14ac:dyDescent="0.25">
      <c r="A17" s="4" t="s">
        <v>80</v>
      </c>
      <c r="B17" s="7">
        <v>3.2000000000000002E-3</v>
      </c>
      <c r="D17" s="4"/>
      <c r="E17" s="7">
        <f>B17</f>
        <v>3.2000000000000002E-3</v>
      </c>
    </row>
    <row r="18" spans="1:7" x14ac:dyDescent="0.25">
      <c r="A18" s="4" t="s">
        <v>81</v>
      </c>
      <c r="B18" s="7">
        <v>2.3999999999999998E-3</v>
      </c>
      <c r="D18" s="4"/>
      <c r="E18" s="7">
        <f>B18</f>
        <v>2.3999999999999998E-3</v>
      </c>
    </row>
    <row r="19" spans="1:7" x14ac:dyDescent="0.25">
      <c r="A19" s="4" t="s">
        <v>119</v>
      </c>
      <c r="B19" s="4"/>
      <c r="D19" s="7">
        <v>2.9999999999999997E-4</v>
      </c>
      <c r="E19" s="7">
        <f>D19</f>
        <v>2.9999999999999997E-4</v>
      </c>
    </row>
    <row r="20" spans="1:7" x14ac:dyDescent="0.25">
      <c r="A20" s="4" t="s">
        <v>120</v>
      </c>
      <c r="B20" s="7" t="s">
        <v>45</v>
      </c>
      <c r="D20" s="7">
        <v>2.1000000000000001E-2</v>
      </c>
      <c r="E20" s="7">
        <f>D20</f>
        <v>2.1000000000000001E-2</v>
      </c>
    </row>
    <row r="21" spans="1:7" x14ac:dyDescent="0.25">
      <c r="A21" s="4" t="s">
        <v>38</v>
      </c>
      <c r="B21" s="7">
        <f>SUM(B5:B20)</f>
        <v>0.1226</v>
      </c>
      <c r="C21" s="60">
        <f>SUM(C12:C20)</f>
        <v>0.16389999999999999</v>
      </c>
      <c r="D21" s="7">
        <f>SUM(D5:D20)</f>
        <v>0.33650000000000002</v>
      </c>
      <c r="E21" s="7">
        <f>SUM(E6:E20)</f>
        <v>0.57619999999999982</v>
      </c>
    </row>
    <row r="22" spans="1:7" ht="30.75" thickBot="1" x14ac:dyDescent="0.3">
      <c r="A22" s="41" t="s">
        <v>84</v>
      </c>
      <c r="B22" s="5" t="s">
        <v>89</v>
      </c>
      <c r="C22" s="14">
        <f>('K3'!G13+'K3'!G15)</f>
        <v>15.705562266184151</v>
      </c>
      <c r="D22" s="13">
        <f>'K3'!G20</f>
        <v>17.256994905718955</v>
      </c>
      <c r="E22" s="96">
        <f>C22/D22</f>
        <v>0.91009833125577033</v>
      </c>
    </row>
    <row r="23" spans="1:7" ht="16.5" thickBot="1" x14ac:dyDescent="0.3">
      <c r="A23" s="2" t="s">
        <v>68</v>
      </c>
      <c r="B23" s="2" t="s">
        <v>101</v>
      </c>
      <c r="E23" s="97">
        <f>B21+C21+D21</f>
        <v>0.623</v>
      </c>
      <c r="F23" s="98" t="s">
        <v>184</v>
      </c>
      <c r="G23" s="99"/>
    </row>
    <row r="24" spans="1:7" ht="15.75" x14ac:dyDescent="0.25">
      <c r="A24" s="2"/>
      <c r="B24" s="2"/>
      <c r="E24" s="95"/>
    </row>
    <row r="25" spans="1:7" ht="18.75" x14ac:dyDescent="0.3">
      <c r="A25" s="93" t="s">
        <v>181</v>
      </c>
    </row>
    <row r="26" spans="1:7" x14ac:dyDescent="0.25">
      <c r="B26" s="40"/>
    </row>
    <row r="27" spans="1:7" ht="15.75" x14ac:dyDescent="0.25">
      <c r="A27" s="39" t="s">
        <v>91</v>
      </c>
      <c r="B27" s="4"/>
    </row>
    <row r="28" spans="1:7" x14ac:dyDescent="0.25">
      <c r="A28" s="4" t="s">
        <v>92</v>
      </c>
      <c r="B28" s="4"/>
      <c r="C28" s="7">
        <v>0.03</v>
      </c>
    </row>
    <row r="29" spans="1:7" x14ac:dyDescent="0.25">
      <c r="A29" s="4" t="s">
        <v>93</v>
      </c>
      <c r="B29" s="4"/>
      <c r="C29" s="7">
        <v>3.4099999999999998E-2</v>
      </c>
    </row>
    <row r="30" spans="1:7" x14ac:dyDescent="0.25">
      <c r="A30" s="4" t="s">
        <v>94</v>
      </c>
      <c r="B30" s="4"/>
      <c r="C30" s="7">
        <v>2.5000000000000001E-2</v>
      </c>
    </row>
    <row r="31" spans="1:7" x14ac:dyDescent="0.25">
      <c r="A31" s="4" t="s">
        <v>95</v>
      </c>
      <c r="B31" s="4"/>
      <c r="C31" s="7">
        <v>1.2E-2</v>
      </c>
    </row>
    <row r="32" spans="1:7" x14ac:dyDescent="0.25">
      <c r="A32" s="4" t="s">
        <v>96</v>
      </c>
      <c r="B32" s="4"/>
      <c r="C32" s="7">
        <v>0.02</v>
      </c>
    </row>
    <row r="33" spans="1:5" ht="15.75" thickBot="1" x14ac:dyDescent="0.3">
      <c r="A33" s="4" t="s">
        <v>97</v>
      </c>
      <c r="B33" s="4"/>
      <c r="C33" s="153">
        <v>6.4999999999999997E-3</v>
      </c>
    </row>
    <row r="34" spans="1:5" ht="15.75" thickBot="1" x14ac:dyDescent="0.3">
      <c r="A34" s="16" t="s">
        <v>38</v>
      </c>
      <c r="C34" s="100">
        <f>SUM(C28:C33)</f>
        <v>0.12759999999999999</v>
      </c>
      <c r="D34" s="98" t="s">
        <v>219</v>
      </c>
      <c r="E34" s="99"/>
    </row>
    <row r="36" spans="1:5" x14ac:dyDescent="0.25">
      <c r="A36" s="68" t="s">
        <v>182</v>
      </c>
    </row>
    <row r="37" spans="1:5" x14ac:dyDescent="0.25">
      <c r="A37" t="s">
        <v>183</v>
      </c>
    </row>
    <row r="40" spans="1:5" ht="18.75" x14ac:dyDescent="0.3">
      <c r="A40" s="130" t="s">
        <v>56</v>
      </c>
      <c r="C40" t="s">
        <v>65</v>
      </c>
    </row>
    <row r="41" spans="1:5" x14ac:dyDescent="0.25">
      <c r="A41" s="122" t="s">
        <v>57</v>
      </c>
      <c r="B41" s="118"/>
      <c r="C41" s="123">
        <v>0.03</v>
      </c>
    </row>
    <row r="42" spans="1:5" x14ac:dyDescent="0.25">
      <c r="A42" s="122" t="s">
        <v>217</v>
      </c>
      <c r="B42" s="118"/>
      <c r="C42" s="124">
        <v>5.4999999999999997E-3</v>
      </c>
    </row>
    <row r="43" spans="1:5" x14ac:dyDescent="0.25">
      <c r="A43" s="122" t="s">
        <v>58</v>
      </c>
      <c r="B43" s="118"/>
      <c r="C43" s="124">
        <v>0.1255</v>
      </c>
    </row>
    <row r="44" spans="1:5" x14ac:dyDescent="0.25">
      <c r="A44" s="122" t="s">
        <v>59</v>
      </c>
      <c r="B44" s="118"/>
      <c r="C44" s="124">
        <v>3.78E-2</v>
      </c>
    </row>
    <row r="45" spans="1:5" x14ac:dyDescent="0.25">
      <c r="A45" s="122" t="s">
        <v>60</v>
      </c>
      <c r="B45" s="118"/>
      <c r="C45" s="124">
        <v>1.2999999999999999E-2</v>
      </c>
    </row>
    <row r="46" spans="1:5" ht="30" x14ac:dyDescent="0.25">
      <c r="A46" s="122" t="s">
        <v>63</v>
      </c>
      <c r="B46" s="118"/>
      <c r="C46" s="124">
        <v>3.9E-2</v>
      </c>
    </row>
    <row r="47" spans="1:5" x14ac:dyDescent="0.25">
      <c r="A47" s="122" t="s">
        <v>61</v>
      </c>
      <c r="B47" s="118"/>
      <c r="C47" s="124">
        <v>5.0000000000000001E-3</v>
      </c>
    </row>
    <row r="48" spans="1:5" ht="30" x14ac:dyDescent="0.25">
      <c r="A48" s="122" t="s">
        <v>64</v>
      </c>
      <c r="B48" s="118"/>
      <c r="C48" s="124" t="s">
        <v>45</v>
      </c>
    </row>
    <row r="49" spans="1:5" ht="15.75" thickBot="1" x14ac:dyDescent="0.3">
      <c r="A49" s="122" t="s">
        <v>62</v>
      </c>
      <c r="B49" s="118"/>
      <c r="C49" s="126">
        <v>1.5299999999999999E-2</v>
      </c>
    </row>
    <row r="50" spans="1:5" ht="15.75" thickBot="1" x14ac:dyDescent="0.3">
      <c r="A50" s="122" t="s">
        <v>38</v>
      </c>
      <c r="B50" s="125"/>
      <c r="C50" s="127">
        <f>SUM(C41:C49)</f>
        <v>0.27110000000000001</v>
      </c>
      <c r="D50" s="98" t="s">
        <v>218</v>
      </c>
      <c r="E50" s="98"/>
    </row>
    <row r="51" spans="1:5" x14ac:dyDescent="0.25">
      <c r="B51" s="128"/>
      <c r="C51" s="129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"/>
  <sheetViews>
    <sheetView workbookViewId="0">
      <selection activeCell="C22" sqref="C22"/>
    </sheetView>
  </sheetViews>
  <sheetFormatPr baseColWidth="10" defaultRowHeight="15" x14ac:dyDescent="0.25"/>
  <cols>
    <col min="1" max="1" width="17" customWidth="1"/>
    <col min="2" max="2" width="9.5703125" customWidth="1"/>
    <col min="8" max="8" width="36.140625" customWidth="1"/>
  </cols>
  <sheetData>
    <row r="1" spans="1:8" ht="15.75" x14ac:dyDescent="0.25">
      <c r="A1" s="2" t="s">
        <v>48</v>
      </c>
    </row>
    <row r="3" spans="1:8" ht="45" x14ac:dyDescent="0.25">
      <c r="A3" s="80" t="s">
        <v>50</v>
      </c>
      <c r="B3" s="5" t="s">
        <v>51</v>
      </c>
      <c r="C3" s="5" t="s">
        <v>46</v>
      </c>
      <c r="D3" s="5" t="s">
        <v>49</v>
      </c>
      <c r="E3" s="5" t="s">
        <v>55</v>
      </c>
      <c r="F3" s="5" t="s">
        <v>52</v>
      </c>
      <c r="G3" s="5" t="s">
        <v>53</v>
      </c>
    </row>
    <row r="4" spans="1:8" ht="39" x14ac:dyDescent="0.25">
      <c r="A4" s="4" t="s">
        <v>123</v>
      </c>
      <c r="B4" s="4">
        <v>100</v>
      </c>
      <c r="C4" s="4">
        <f>C11</f>
        <v>9.3699999999999992</v>
      </c>
      <c r="D4" s="4" t="s">
        <v>54</v>
      </c>
      <c r="E4" s="4">
        <v>5</v>
      </c>
      <c r="F4" s="4"/>
      <c r="G4" s="106">
        <f>C4*E4*4.33*5</f>
        <v>1014.3024999999999</v>
      </c>
      <c r="H4" s="105" t="s">
        <v>186</v>
      </c>
    </row>
    <row r="5" spans="1:8" ht="15.75" thickBot="1" x14ac:dyDescent="0.3">
      <c r="A5" s="4" t="s">
        <v>38</v>
      </c>
      <c r="B5" s="4"/>
      <c r="C5" s="4"/>
      <c r="D5" s="4"/>
      <c r="E5" s="4"/>
      <c r="F5" s="4"/>
      <c r="G5" s="101">
        <f>SUM(G4:G4)</f>
        <v>1014.3024999999999</v>
      </c>
    </row>
    <row r="6" spans="1:8" ht="45.75" thickBot="1" x14ac:dyDescent="0.3">
      <c r="A6" s="81" t="s">
        <v>179</v>
      </c>
      <c r="B6" s="42"/>
      <c r="C6" s="4"/>
      <c r="D6" s="5" t="s">
        <v>188</v>
      </c>
      <c r="E6" s="5" t="s">
        <v>189</v>
      </c>
      <c r="F6" s="107" t="s">
        <v>187</v>
      </c>
      <c r="G6" s="102">
        <f>G5/(5*38.5*4.33)</f>
        <v>1.2168831168831169</v>
      </c>
      <c r="H6" s="103" t="s">
        <v>185</v>
      </c>
    </row>
    <row r="7" spans="1:8" x14ac:dyDescent="0.25">
      <c r="A7" s="91"/>
      <c r="B7" s="92"/>
      <c r="C7" s="73"/>
      <c r="D7" s="73"/>
      <c r="E7" s="73"/>
      <c r="F7" s="73"/>
      <c r="G7" s="90"/>
    </row>
    <row r="8" spans="1:8" x14ac:dyDescent="0.25">
      <c r="A8" s="91"/>
      <c r="B8" s="92"/>
      <c r="C8" s="73"/>
      <c r="D8" s="73"/>
      <c r="E8" s="73"/>
      <c r="F8" s="73"/>
      <c r="G8" s="90"/>
    </row>
    <row r="9" spans="1:8" x14ac:dyDescent="0.25">
      <c r="G9" s="10"/>
    </row>
    <row r="10" spans="1:8" x14ac:dyDescent="0.25">
      <c r="G10" s="43"/>
      <c r="H10" s="9"/>
    </row>
    <row r="11" spans="1:8" x14ac:dyDescent="0.25">
      <c r="A11" t="s">
        <v>125</v>
      </c>
      <c r="C11">
        <v>9.3699999999999992</v>
      </c>
    </row>
    <row r="12" spans="1:8" x14ac:dyDescent="0.25">
      <c r="A12" s="59" t="s">
        <v>145</v>
      </c>
      <c r="C12">
        <v>24.6</v>
      </c>
    </row>
    <row r="13" spans="1:8" x14ac:dyDescent="0.25">
      <c r="A13" t="s">
        <v>126</v>
      </c>
      <c r="C13">
        <v>49.18</v>
      </c>
    </row>
    <row r="14" spans="1:8" x14ac:dyDescent="0.25">
      <c r="A14" t="s">
        <v>127</v>
      </c>
      <c r="C14">
        <v>17.489999999999998</v>
      </c>
    </row>
    <row r="15" spans="1:8" x14ac:dyDescent="0.25">
      <c r="A15" t="s">
        <v>124</v>
      </c>
      <c r="C15">
        <v>0.58199999999999996</v>
      </c>
    </row>
    <row r="16" spans="1:8" x14ac:dyDescent="0.25">
      <c r="A16" t="s">
        <v>128</v>
      </c>
      <c r="C16">
        <v>0.58199999999999996</v>
      </c>
    </row>
    <row r="17" spans="1:3" x14ac:dyDescent="0.25">
      <c r="A17" t="s">
        <v>129</v>
      </c>
      <c r="C17">
        <v>0.58199999999999996</v>
      </c>
    </row>
    <row r="18" spans="1:3" x14ac:dyDescent="0.25">
      <c r="A18" t="s">
        <v>130</v>
      </c>
      <c r="C18">
        <v>2.39</v>
      </c>
    </row>
    <row r="19" spans="1:3" x14ac:dyDescent="0.25">
      <c r="A19" t="s">
        <v>131</v>
      </c>
      <c r="C19">
        <v>0.51500000000000001</v>
      </c>
    </row>
    <row r="20" spans="1:3" x14ac:dyDescent="0.25">
      <c r="A20" t="s">
        <v>132</v>
      </c>
      <c r="C20">
        <v>2.39</v>
      </c>
    </row>
    <row r="21" spans="1:3" x14ac:dyDescent="0.25">
      <c r="A21" t="s">
        <v>133</v>
      </c>
      <c r="C21">
        <v>0.89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2"/>
  <sheetViews>
    <sheetView workbookViewId="0">
      <selection activeCell="F12" sqref="F12"/>
    </sheetView>
  </sheetViews>
  <sheetFormatPr baseColWidth="10" defaultRowHeight="15" x14ac:dyDescent="0.25"/>
  <cols>
    <col min="1" max="1" width="11.42578125" customWidth="1"/>
    <col min="2" max="2" width="47.140625" customWidth="1"/>
    <col min="3" max="3" width="5.5703125" customWidth="1"/>
    <col min="4" max="4" width="4.42578125" customWidth="1"/>
    <col min="5" max="5" width="9.5703125" customWidth="1"/>
    <col min="6" max="6" width="9.7109375" customWidth="1"/>
    <col min="7" max="7" width="10.7109375" customWidth="1"/>
    <col min="8" max="8" width="14.85546875" customWidth="1"/>
    <col min="9" max="9" width="10.28515625" customWidth="1"/>
    <col min="10" max="10" width="9.28515625" customWidth="1"/>
  </cols>
  <sheetData>
    <row r="1" spans="1:13" ht="15.75" x14ac:dyDescent="0.25">
      <c r="A1" s="64" t="s">
        <v>246</v>
      </c>
      <c r="B1" s="62"/>
    </row>
    <row r="4" spans="1:13" s="3" customFormat="1" ht="45" x14ac:dyDescent="0.25">
      <c r="A4" s="5" t="s">
        <v>35</v>
      </c>
      <c r="B4" s="5" t="s">
        <v>36</v>
      </c>
      <c r="C4" s="5" t="s">
        <v>37</v>
      </c>
      <c r="D4" s="5" t="s">
        <v>29</v>
      </c>
      <c r="E4" s="69" t="s">
        <v>173</v>
      </c>
      <c r="F4" s="5" t="s">
        <v>247</v>
      </c>
      <c r="G4" s="5" t="s">
        <v>122</v>
      </c>
      <c r="H4" s="5" t="s">
        <v>171</v>
      </c>
      <c r="I4" s="5" t="s">
        <v>42</v>
      </c>
      <c r="J4" s="5" t="s">
        <v>39</v>
      </c>
      <c r="K4" s="5" t="s">
        <v>40</v>
      </c>
    </row>
    <row r="5" spans="1:13" x14ac:dyDescent="0.25">
      <c r="A5" s="12" t="s">
        <v>166</v>
      </c>
      <c r="B5" s="4" t="s">
        <v>165</v>
      </c>
      <c r="C5" s="4">
        <v>100</v>
      </c>
      <c r="D5" s="4">
        <v>1</v>
      </c>
      <c r="E5" s="70">
        <f>'Lohntabelle Gewerbe 2021'!C5</f>
        <v>2961.82</v>
      </c>
      <c r="F5" s="82">
        <v>3400</v>
      </c>
      <c r="G5" s="10">
        <f>E5*12/(52*38.5)</f>
        <v>17.753166833166834</v>
      </c>
      <c r="H5" s="83">
        <f>F5*D5</f>
        <v>3400</v>
      </c>
      <c r="I5" s="7">
        <f>(F5/E5)-1</f>
        <v>0.14794281894240702</v>
      </c>
      <c r="J5" s="13">
        <f>(F5-E5)/2002</f>
        <v>0.21887112887112878</v>
      </c>
      <c r="K5" s="13">
        <f>(F5-E5)*D5</f>
        <v>438.17999999999984</v>
      </c>
    </row>
    <row r="6" spans="1:13" x14ac:dyDescent="0.25">
      <c r="A6" s="12" t="s">
        <v>110</v>
      </c>
      <c r="B6" s="4" t="s">
        <v>121</v>
      </c>
      <c r="C6" s="4">
        <v>100</v>
      </c>
      <c r="D6" s="4">
        <v>1</v>
      </c>
      <c r="E6" s="70">
        <f>'Lohntabelle Gewerbe 2021'!C6</f>
        <v>2641.98</v>
      </c>
      <c r="F6" s="82">
        <v>2850</v>
      </c>
      <c r="G6" s="10">
        <f>E6*12/2002</f>
        <v>15.836043956043957</v>
      </c>
      <c r="H6" s="83">
        <f t="shared" ref="H6:H9" si="0">F6*D6</f>
        <v>2850</v>
      </c>
      <c r="I6" s="7">
        <f t="shared" ref="I6:I9" si="1">(F6/E6)-1</f>
        <v>7.8736402243771764E-2</v>
      </c>
      <c r="J6" s="13">
        <f t="shared" ref="J6:J9" si="2">(F6-E6)/2002</f>
        <v>0.1039060939060939</v>
      </c>
      <c r="K6" s="13">
        <f t="shared" ref="K6:K9" si="3">(F6-E6)*D6</f>
        <v>208.01999999999998</v>
      </c>
    </row>
    <row r="7" spans="1:13" x14ac:dyDescent="0.25">
      <c r="A7" s="12" t="s">
        <v>111</v>
      </c>
      <c r="B7" s="4" t="s">
        <v>41</v>
      </c>
      <c r="C7" s="4">
        <v>100</v>
      </c>
      <c r="D7" s="4">
        <v>3</v>
      </c>
      <c r="E7" s="70">
        <f>'Lohntabelle Gewerbe 2021'!C7</f>
        <v>2293.08</v>
      </c>
      <c r="F7" s="82">
        <v>2330</v>
      </c>
      <c r="G7" s="10">
        <f>E7*12/2002</f>
        <v>13.744735264735263</v>
      </c>
      <c r="H7" s="83">
        <f t="shared" si="0"/>
        <v>6990</v>
      </c>
      <c r="I7" s="7">
        <f t="shared" si="1"/>
        <v>1.6100615765695103E-2</v>
      </c>
      <c r="J7" s="13">
        <f t="shared" si="2"/>
        <v>1.8441558441558478E-2</v>
      </c>
      <c r="K7" s="13">
        <f t="shared" si="3"/>
        <v>110.76000000000022</v>
      </c>
    </row>
    <row r="8" spans="1:13" x14ac:dyDescent="0.25">
      <c r="A8" s="12" t="s">
        <v>112</v>
      </c>
      <c r="B8" s="4" t="s">
        <v>109</v>
      </c>
      <c r="C8" s="4">
        <v>100</v>
      </c>
      <c r="D8" s="4">
        <v>2</v>
      </c>
      <c r="E8" s="70">
        <f>'Lohntabelle Gewerbe 2021'!C9</f>
        <v>2043.03</v>
      </c>
      <c r="F8" s="82">
        <v>2120</v>
      </c>
      <c r="G8" s="10">
        <f>E8*12/2002</f>
        <v>12.245934065934065</v>
      </c>
      <c r="H8" s="83">
        <f t="shared" si="0"/>
        <v>4240</v>
      </c>
      <c r="I8" s="7">
        <f t="shared" si="1"/>
        <v>3.7674434540853508E-2</v>
      </c>
      <c r="J8" s="13">
        <f t="shared" si="2"/>
        <v>3.8446553446553462E-2</v>
      </c>
      <c r="K8" s="13">
        <f t="shared" si="3"/>
        <v>153.94000000000005</v>
      </c>
    </row>
    <row r="9" spans="1:13" x14ac:dyDescent="0.25">
      <c r="A9" s="4" t="s">
        <v>11</v>
      </c>
      <c r="B9" s="4" t="s">
        <v>43</v>
      </c>
      <c r="C9" s="4">
        <v>100</v>
      </c>
      <c r="D9" s="4">
        <v>1</v>
      </c>
      <c r="E9" s="70">
        <f>'Lohntabelle Gewerbe 2021'!C13</f>
        <v>701.91</v>
      </c>
      <c r="F9" s="82">
        <f>E9</f>
        <v>701.91</v>
      </c>
      <c r="G9" s="10">
        <f>E9*12/2002</f>
        <v>4.2072527472527472</v>
      </c>
      <c r="H9" s="83">
        <f t="shared" si="0"/>
        <v>701.91</v>
      </c>
      <c r="I9" s="7">
        <f t="shared" si="1"/>
        <v>0</v>
      </c>
      <c r="J9" s="13">
        <f t="shared" si="2"/>
        <v>0</v>
      </c>
      <c r="K9" s="13">
        <f t="shared" si="3"/>
        <v>0</v>
      </c>
    </row>
    <row r="10" spans="1:13" x14ac:dyDescent="0.25">
      <c r="F10" s="68"/>
      <c r="H10" s="84"/>
      <c r="J10" s="10" t="s">
        <v>45</v>
      </c>
    </row>
    <row r="11" spans="1:13" ht="15" customHeight="1" x14ac:dyDescent="0.25">
      <c r="A11" s="161" t="s">
        <v>44</v>
      </c>
      <c r="B11" s="162"/>
      <c r="C11" s="4">
        <f>SUM(C5:C10)</f>
        <v>500</v>
      </c>
      <c r="D11" s="4">
        <f>SUM(D5:D10)</f>
        <v>8</v>
      </c>
      <c r="E11" s="13">
        <f>SUM(E5:E9)</f>
        <v>10641.82</v>
      </c>
      <c r="F11" s="16"/>
      <c r="G11" s="4"/>
      <c r="H11" s="83">
        <f>SUM(H5:H10)</f>
        <v>18181.91</v>
      </c>
      <c r="I11" s="67">
        <f>(H11-E11)/E11</f>
        <v>0.70853387860347194</v>
      </c>
      <c r="J11" s="13" t="s">
        <v>45</v>
      </c>
      <c r="K11" s="13">
        <f>SUM(K5:K10)</f>
        <v>910.90000000000009</v>
      </c>
      <c r="M11" s="87">
        <f>K11/E11</f>
        <v>8.559626078997766E-2</v>
      </c>
    </row>
    <row r="12" spans="1:13" ht="15.75" thickBot="1" x14ac:dyDescent="0.3">
      <c r="A12" s="12" t="s">
        <v>150</v>
      </c>
      <c r="B12" s="4" t="s">
        <v>151</v>
      </c>
      <c r="C12" s="4">
        <v>25</v>
      </c>
      <c r="D12" s="13">
        <v>0.5</v>
      </c>
      <c r="E12" s="13">
        <f>'Lohntabelle Gewerbe 2021'!C4</f>
        <v>3235.12</v>
      </c>
      <c r="F12" s="16">
        <v>3600</v>
      </c>
      <c r="G12" s="101">
        <f>E12/2002*12</f>
        <v>19.391328671328672</v>
      </c>
      <c r="H12" s="110">
        <f>E12*D12</f>
        <v>1617.56</v>
      </c>
      <c r="I12" s="111">
        <f>(F12-E12)/E12</f>
        <v>0.11278716090902351</v>
      </c>
      <c r="J12" s="13">
        <f>G12*(I12)</f>
        <v>2.1870929070929082</v>
      </c>
      <c r="K12" s="13">
        <f>H12*I12</f>
        <v>182.44000000000005</v>
      </c>
      <c r="M12" s="87">
        <f>(F12-E12)/E12</f>
        <v>0.11278716090902351</v>
      </c>
    </row>
    <row r="13" spans="1:13" ht="15.75" thickBot="1" x14ac:dyDescent="0.3">
      <c r="A13" s="11"/>
      <c r="B13" s="85" t="s">
        <v>170</v>
      </c>
      <c r="G13" s="115">
        <f>H11/(D11*38.5*4.33)</f>
        <v>13.633296841726402</v>
      </c>
      <c r="H13" s="116" t="s">
        <v>210</v>
      </c>
      <c r="I13" s="117"/>
    </row>
    <row r="14" spans="1:13" ht="15" customHeight="1" x14ac:dyDescent="0.25">
      <c r="A14" s="163" t="s">
        <v>152</v>
      </c>
      <c r="B14" s="164"/>
      <c r="C14" s="16"/>
      <c r="D14" s="16"/>
      <c r="E14" s="82">
        <f>E5+E6+E7+E8+E9+E12*0.25</f>
        <v>11450.6</v>
      </c>
      <c r="F14" s="16"/>
      <c r="G14" s="112"/>
      <c r="H14" s="113">
        <f>SUM(H11:H12)</f>
        <v>19799.47</v>
      </c>
      <c r="I14" s="114"/>
      <c r="J14" s="16"/>
      <c r="K14" s="82">
        <f>SUM(K11:K12)</f>
        <v>1093.3400000000001</v>
      </c>
    </row>
    <row r="15" spans="1:13" x14ac:dyDescent="0.25">
      <c r="A15" s="11"/>
    </row>
    <row r="16" spans="1:13" ht="30" x14ac:dyDescent="0.25">
      <c r="A16" s="12"/>
      <c r="B16" s="4"/>
      <c r="C16" s="4"/>
      <c r="D16" s="4"/>
      <c r="E16" s="4"/>
      <c r="F16" s="5" t="s">
        <v>178</v>
      </c>
      <c r="G16" s="6" t="s">
        <v>172</v>
      </c>
      <c r="H16" s="5" t="s">
        <v>102</v>
      </c>
      <c r="I16" s="4" t="s">
        <v>12</v>
      </c>
    </row>
    <row r="17" spans="1:12" x14ac:dyDescent="0.25">
      <c r="A17" s="4" t="s">
        <v>144</v>
      </c>
      <c r="B17" s="4"/>
      <c r="C17" s="4" t="s">
        <v>45</v>
      </c>
      <c r="D17" s="4"/>
      <c r="E17" s="4"/>
      <c r="F17" s="86">
        <f>E11/5</f>
        <v>2128.364</v>
      </c>
      <c r="G17" s="63">
        <f>G13</f>
        <v>13.633296841726402</v>
      </c>
      <c r="H17" s="63" t="s">
        <v>211</v>
      </c>
      <c r="I17" s="4"/>
      <c r="J17" s="62" t="s">
        <v>214</v>
      </c>
      <c r="K17" s="62"/>
      <c r="L17" s="62"/>
    </row>
    <row r="18" spans="1:12" x14ac:dyDescent="0.25">
      <c r="A18" s="4" t="s">
        <v>47</v>
      </c>
      <c r="B18" s="4"/>
      <c r="C18" s="4"/>
      <c r="D18" s="4"/>
      <c r="E18" s="4"/>
      <c r="F18" s="86">
        <f>H12</f>
        <v>1617.56</v>
      </c>
      <c r="G18" s="119">
        <f>F18/(38.5*4.33*D12)</f>
        <v>19.406256560990968</v>
      </c>
      <c r="H18" s="18" t="s">
        <v>212</v>
      </c>
      <c r="I18" s="26">
        <f>H12/E11</f>
        <v>0.1520003157354663</v>
      </c>
      <c r="J18" s="26" t="s">
        <v>215</v>
      </c>
      <c r="K18" s="26"/>
      <c r="L18" s="19"/>
    </row>
    <row r="19" spans="1:12" x14ac:dyDescent="0.25">
      <c r="A19" s="4" t="s">
        <v>143</v>
      </c>
      <c r="B19" s="4"/>
      <c r="C19" s="4"/>
      <c r="D19" s="4"/>
      <c r="E19" s="4"/>
      <c r="F19" s="13">
        <f>K14/D11</f>
        <v>136.66750000000002</v>
      </c>
      <c r="G19" s="120">
        <f>F19/(38.4*4.33)</f>
        <v>0.82195138086990005</v>
      </c>
      <c r="H19" s="121" t="s">
        <v>213</v>
      </c>
      <c r="I19" s="44">
        <f>G19/G17</f>
        <v>6.0289993712615099E-2</v>
      </c>
      <c r="J19" s="44" t="s">
        <v>216</v>
      </c>
      <c r="K19" s="44"/>
      <c r="L19" s="44"/>
    </row>
    <row r="20" spans="1:12" x14ac:dyDescent="0.25">
      <c r="A20" s="4"/>
      <c r="B20" s="4"/>
      <c r="C20" s="4"/>
      <c r="D20" s="4"/>
      <c r="E20" s="4"/>
      <c r="F20" s="45"/>
      <c r="G20" s="4"/>
      <c r="H20" s="4"/>
      <c r="I20" s="4"/>
    </row>
    <row r="22" spans="1:12" x14ac:dyDescent="0.25">
      <c r="B22" s="80" t="s">
        <v>190</v>
      </c>
    </row>
    <row r="23" spans="1:12" x14ac:dyDescent="0.25">
      <c r="A23" s="108" t="s">
        <v>191</v>
      </c>
      <c r="B23" s="154" t="s">
        <v>192</v>
      </c>
    </row>
    <row r="24" spans="1:12" x14ac:dyDescent="0.25">
      <c r="A24" s="108" t="s">
        <v>193</v>
      </c>
      <c r="B24" s="154" t="s">
        <v>194</v>
      </c>
    </row>
    <row r="25" spans="1:12" ht="51.75" x14ac:dyDescent="0.25">
      <c r="A25" s="108" t="s">
        <v>195</v>
      </c>
      <c r="B25" s="155" t="s">
        <v>278</v>
      </c>
    </row>
    <row r="26" spans="1:12" x14ac:dyDescent="0.25">
      <c r="A26" s="108" t="s">
        <v>196</v>
      </c>
      <c r="B26" s="154" t="s">
        <v>197</v>
      </c>
    </row>
    <row r="27" spans="1:12" ht="26.25" x14ac:dyDescent="0.25">
      <c r="A27" s="108" t="s">
        <v>198</v>
      </c>
      <c r="B27" s="154" t="s">
        <v>199</v>
      </c>
    </row>
    <row r="28" spans="1:12" ht="26.25" x14ac:dyDescent="0.25">
      <c r="A28" s="108" t="s">
        <v>200</v>
      </c>
      <c r="B28" s="154" t="s">
        <v>201</v>
      </c>
    </row>
    <row r="29" spans="1:12" x14ac:dyDescent="0.25">
      <c r="A29" s="108" t="s">
        <v>202</v>
      </c>
      <c r="B29" s="154" t="s">
        <v>203</v>
      </c>
    </row>
    <row r="30" spans="1:12" x14ac:dyDescent="0.25">
      <c r="A30" s="108" t="s">
        <v>204</v>
      </c>
      <c r="B30" s="154" t="s">
        <v>205</v>
      </c>
    </row>
    <row r="31" spans="1:12" x14ac:dyDescent="0.25">
      <c r="A31" s="108" t="s">
        <v>206</v>
      </c>
      <c r="B31" s="154" t="s">
        <v>207</v>
      </c>
    </row>
    <row r="32" spans="1:12" x14ac:dyDescent="0.25">
      <c r="A32" s="109" t="s">
        <v>208</v>
      </c>
      <c r="B32" s="154" t="s">
        <v>209</v>
      </c>
    </row>
  </sheetData>
  <mergeCells count="2">
    <mergeCell ref="A11:B11"/>
    <mergeCell ref="A14:B1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"/>
  <sheetViews>
    <sheetView workbookViewId="0">
      <selection activeCell="A2" sqref="A2"/>
    </sheetView>
  </sheetViews>
  <sheetFormatPr baseColWidth="10" defaultRowHeight="15" x14ac:dyDescent="0.25"/>
  <cols>
    <col min="1" max="1" width="8.140625" customWidth="1"/>
    <col min="2" max="2" width="7.7109375" customWidth="1"/>
    <col min="3" max="3" width="44.7109375" customWidth="1"/>
    <col min="4" max="4" width="7.7109375" customWidth="1"/>
    <col min="5" max="5" width="9.5703125" customWidth="1"/>
    <col min="6" max="6" width="11.28515625" customWidth="1"/>
    <col min="8" max="8" width="14.7109375" customWidth="1"/>
  </cols>
  <sheetData>
    <row r="1" spans="1:8" ht="19.5" thickBot="1" x14ac:dyDescent="0.35">
      <c r="A1" s="142" t="s">
        <v>270</v>
      </c>
      <c r="B1" s="143"/>
      <c r="C1" s="144"/>
      <c r="D1" s="73"/>
      <c r="E1" s="73"/>
      <c r="F1" s="148"/>
    </row>
    <row r="3" spans="1:8" x14ac:dyDescent="0.25">
      <c r="A3" s="145" t="s">
        <v>229</v>
      </c>
      <c r="B3" s="16" t="s">
        <v>260</v>
      </c>
      <c r="C3" s="146" t="s">
        <v>227</v>
      </c>
      <c r="D3" s="146" t="s">
        <v>253</v>
      </c>
      <c r="E3" s="146" t="s">
        <v>256</v>
      </c>
      <c r="F3" s="146" t="s">
        <v>257</v>
      </c>
      <c r="G3" s="16" t="s">
        <v>254</v>
      </c>
      <c r="H3" s="16" t="s">
        <v>228</v>
      </c>
    </row>
    <row r="4" spans="1:8" x14ac:dyDescent="0.25">
      <c r="A4" s="139" t="s">
        <v>230</v>
      </c>
      <c r="B4" s="4">
        <v>32</v>
      </c>
      <c r="C4" s="5" t="s">
        <v>255</v>
      </c>
      <c r="D4" s="149">
        <v>0.77</v>
      </c>
      <c r="E4" s="149">
        <v>23</v>
      </c>
      <c r="F4" s="149">
        <f>B4*E4</f>
        <v>736</v>
      </c>
      <c r="G4" s="106">
        <v>1900</v>
      </c>
      <c r="H4" s="106">
        <f>F4*G4/1000</f>
        <v>1398.4</v>
      </c>
    </row>
    <row r="5" spans="1:8" x14ac:dyDescent="0.25">
      <c r="A5" s="139" t="s">
        <v>231</v>
      </c>
      <c r="B5" s="4">
        <v>26</v>
      </c>
      <c r="C5" s="5" t="s">
        <v>258</v>
      </c>
      <c r="D5" s="149">
        <v>1.48</v>
      </c>
      <c r="E5" s="149">
        <v>70</v>
      </c>
      <c r="F5" s="149">
        <f>B5*E5</f>
        <v>1820</v>
      </c>
      <c r="G5" s="106">
        <v>2000</v>
      </c>
      <c r="H5" s="106">
        <f>F5*G5/1000</f>
        <v>3640</v>
      </c>
    </row>
    <row r="6" spans="1:8" x14ac:dyDescent="0.25">
      <c r="A6" s="139" t="s">
        <v>232</v>
      </c>
      <c r="B6" s="4">
        <v>18</v>
      </c>
      <c r="C6" s="5" t="s">
        <v>259</v>
      </c>
      <c r="D6" s="149">
        <v>1.93</v>
      </c>
      <c r="E6" s="149">
        <v>159</v>
      </c>
      <c r="F6" s="149">
        <f>B6*E6</f>
        <v>2862</v>
      </c>
      <c r="G6" s="106">
        <v>2050</v>
      </c>
      <c r="H6" s="106">
        <f t="shared" ref="H6:H13" si="0">B6*G6</f>
        <v>36900</v>
      </c>
    </row>
    <row r="7" spans="1:8" x14ac:dyDescent="0.25">
      <c r="A7" s="139" t="s">
        <v>233</v>
      </c>
      <c r="B7" s="4">
        <v>68</v>
      </c>
      <c r="C7" s="5" t="s">
        <v>261</v>
      </c>
      <c r="D7" s="149">
        <v>0.1</v>
      </c>
      <c r="E7" s="149">
        <v>1.88</v>
      </c>
      <c r="F7" s="149">
        <f>E7*B7</f>
        <v>127.83999999999999</v>
      </c>
      <c r="G7" s="106">
        <v>1780</v>
      </c>
      <c r="H7" s="106">
        <f t="shared" si="0"/>
        <v>121040</v>
      </c>
    </row>
    <row r="8" spans="1:8" x14ac:dyDescent="0.25">
      <c r="A8" s="139" t="s">
        <v>234</v>
      </c>
      <c r="B8" s="4">
        <v>52</v>
      </c>
      <c r="C8" s="5" t="s">
        <v>262</v>
      </c>
      <c r="D8" s="149">
        <v>0.32</v>
      </c>
      <c r="E8" s="149">
        <v>22</v>
      </c>
      <c r="F8" s="149">
        <f>E8*B8</f>
        <v>1144</v>
      </c>
      <c r="G8" s="106">
        <v>1820</v>
      </c>
      <c r="H8" s="106">
        <f t="shared" si="0"/>
        <v>94640</v>
      </c>
    </row>
    <row r="9" spans="1:8" x14ac:dyDescent="0.25">
      <c r="A9" s="139" t="s">
        <v>235</v>
      </c>
      <c r="B9" s="4">
        <v>6</v>
      </c>
      <c r="C9" s="5" t="s">
        <v>263</v>
      </c>
      <c r="D9" s="149"/>
      <c r="E9" s="149">
        <v>18.75</v>
      </c>
      <c r="F9" s="149">
        <f>B9*E9</f>
        <v>112.5</v>
      </c>
      <c r="G9" s="106">
        <v>2100</v>
      </c>
      <c r="H9" s="106">
        <f t="shared" si="0"/>
        <v>12600</v>
      </c>
    </row>
    <row r="10" spans="1:8" x14ac:dyDescent="0.25">
      <c r="A10" s="139" t="s">
        <v>236</v>
      </c>
      <c r="B10" s="4">
        <v>8</v>
      </c>
      <c r="C10" s="5" t="s">
        <v>264</v>
      </c>
      <c r="D10" s="149"/>
      <c r="E10" s="149"/>
      <c r="F10" s="149">
        <v>22.95</v>
      </c>
      <c r="G10" s="106">
        <v>117</v>
      </c>
      <c r="H10" s="106">
        <f t="shared" si="0"/>
        <v>936</v>
      </c>
    </row>
    <row r="11" spans="1:8" x14ac:dyDescent="0.25">
      <c r="A11" s="139" t="s">
        <v>237</v>
      </c>
      <c r="B11" s="4">
        <v>2</v>
      </c>
      <c r="C11" s="5" t="s">
        <v>265</v>
      </c>
      <c r="D11" s="149"/>
      <c r="E11" s="149"/>
      <c r="F11" s="149"/>
      <c r="G11" s="106">
        <v>88</v>
      </c>
      <c r="H11" s="106">
        <f t="shared" si="0"/>
        <v>176</v>
      </c>
    </row>
    <row r="12" spans="1:8" x14ac:dyDescent="0.25">
      <c r="A12" s="139" t="s">
        <v>238</v>
      </c>
      <c r="B12" s="4">
        <v>8</v>
      </c>
      <c r="C12" s="5" t="s">
        <v>266</v>
      </c>
      <c r="D12" s="149"/>
      <c r="E12" s="149"/>
      <c r="F12" s="149">
        <v>2.38</v>
      </c>
      <c r="G12" s="106">
        <v>5.3</v>
      </c>
      <c r="H12" s="106">
        <f t="shared" si="0"/>
        <v>42.4</v>
      </c>
    </row>
    <row r="13" spans="1:8" x14ac:dyDescent="0.25">
      <c r="A13" s="139" t="s">
        <v>239</v>
      </c>
      <c r="B13" s="4">
        <v>96</v>
      </c>
      <c r="C13" s="5" t="s">
        <v>267</v>
      </c>
      <c r="D13" s="149"/>
      <c r="E13" s="149"/>
      <c r="F13" s="149">
        <v>1.75</v>
      </c>
      <c r="G13" s="106">
        <v>4</v>
      </c>
      <c r="H13" s="106">
        <f t="shared" si="0"/>
        <v>384</v>
      </c>
    </row>
    <row r="14" spans="1:8" x14ac:dyDescent="0.25">
      <c r="A14" s="139"/>
      <c r="B14" s="4"/>
      <c r="C14" s="80" t="s">
        <v>241</v>
      </c>
      <c r="D14" s="80"/>
      <c r="E14" s="80"/>
      <c r="F14" s="150"/>
      <c r="G14" s="106"/>
      <c r="H14" s="140">
        <f>SUM(H4:H13)</f>
        <v>271756.80000000005</v>
      </c>
    </row>
    <row r="15" spans="1:8" x14ac:dyDescent="0.25">
      <c r="A15" s="139" t="s">
        <v>240</v>
      </c>
      <c r="B15" s="4">
        <v>1240</v>
      </c>
      <c r="C15" s="80" t="s">
        <v>242</v>
      </c>
      <c r="D15" s="80"/>
      <c r="E15" s="80"/>
      <c r="F15" s="150"/>
      <c r="G15" s="141">
        <f>'K3'!G27</f>
        <v>45.131687147218912</v>
      </c>
      <c r="H15" s="106">
        <f>B15*G15</f>
        <v>55963.292062551453</v>
      </c>
    </row>
    <row r="16" spans="1:8" x14ac:dyDescent="0.25">
      <c r="A16" s="139"/>
      <c r="B16" s="4"/>
      <c r="C16" s="5" t="s">
        <v>243</v>
      </c>
      <c r="D16" s="5"/>
      <c r="E16" s="5"/>
      <c r="F16" s="5"/>
      <c r="G16" s="106"/>
      <c r="H16" s="106">
        <f>H14+H15</f>
        <v>327720.09206255153</v>
      </c>
    </row>
    <row r="17" spans="1:8" x14ac:dyDescent="0.25">
      <c r="A17" s="139"/>
      <c r="B17" s="4"/>
      <c r="C17" s="5" t="s">
        <v>244</v>
      </c>
      <c r="D17" s="5"/>
      <c r="E17" s="5"/>
      <c r="F17" s="5"/>
      <c r="G17" s="106"/>
      <c r="H17" s="106">
        <f>H16*0.2</f>
        <v>65544.018412510311</v>
      </c>
    </row>
    <row r="18" spans="1:8" x14ac:dyDescent="0.25">
      <c r="A18" s="139"/>
      <c r="B18" s="4"/>
      <c r="C18" s="80" t="s">
        <v>245</v>
      </c>
      <c r="D18" s="80"/>
      <c r="E18" s="80"/>
      <c r="F18" s="80"/>
      <c r="G18" s="106"/>
      <c r="H18" s="147">
        <f>H16+H17</f>
        <v>393264.11047506181</v>
      </c>
    </row>
    <row r="19" spans="1:8" x14ac:dyDescent="0.25">
      <c r="A19" s="104"/>
      <c r="G19" s="138"/>
      <c r="H19" s="138"/>
    </row>
    <row r="20" spans="1:8" x14ac:dyDescent="0.25">
      <c r="A20" s="104"/>
      <c r="G20" s="138"/>
      <c r="H20" s="138"/>
    </row>
    <row r="21" spans="1:8" x14ac:dyDescent="0.25">
      <c r="A21" s="104"/>
    </row>
    <row r="22" spans="1:8" x14ac:dyDescent="0.25">
      <c r="A22" s="104"/>
    </row>
    <row r="23" spans="1:8" x14ac:dyDescent="0.25">
      <c r="A23" s="104"/>
    </row>
    <row r="24" spans="1:8" x14ac:dyDescent="0.25">
      <c r="A24" s="104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2"/>
  <sheetViews>
    <sheetView workbookViewId="0">
      <selection activeCell="H7" sqref="H7"/>
    </sheetView>
  </sheetViews>
  <sheetFormatPr baseColWidth="10" defaultRowHeight="15" x14ac:dyDescent="0.25"/>
  <cols>
    <col min="1" max="1" width="25.5703125" customWidth="1"/>
  </cols>
  <sheetData>
    <row r="1" spans="1:9" ht="15.75" x14ac:dyDescent="0.25">
      <c r="A1" s="2" t="s">
        <v>221</v>
      </c>
    </row>
    <row r="3" spans="1:9" s="8" customFormat="1" ht="30" x14ac:dyDescent="0.25">
      <c r="A3" s="131" t="s">
        <v>28</v>
      </c>
      <c r="B3" s="28" t="s">
        <v>30</v>
      </c>
      <c r="C3" s="28" t="s">
        <v>31</v>
      </c>
      <c r="D3" s="28" t="s">
        <v>223</v>
      </c>
      <c r="E3" s="28" t="s">
        <v>107</v>
      </c>
      <c r="F3" s="28" t="s">
        <v>34</v>
      </c>
      <c r="G3" s="28" t="s">
        <v>222</v>
      </c>
    </row>
    <row r="4" spans="1:9" x14ac:dyDescent="0.25">
      <c r="A4" s="29" t="s">
        <v>32</v>
      </c>
      <c r="B4" s="29">
        <v>38.5</v>
      </c>
      <c r="C4" s="29">
        <v>42</v>
      </c>
      <c r="D4" s="29" t="s">
        <v>45</v>
      </c>
      <c r="E4" s="29"/>
      <c r="F4" s="57">
        <f>'Kalkulierte Mannschaft'!G13</f>
        <v>13.633296841726402</v>
      </c>
      <c r="G4" s="29"/>
    </row>
    <row r="5" spans="1:9" x14ac:dyDescent="0.25">
      <c r="A5" s="29" t="s">
        <v>115</v>
      </c>
      <c r="B5" s="29">
        <v>1.5</v>
      </c>
      <c r="C5" s="29">
        <v>1.5</v>
      </c>
      <c r="D5" s="29">
        <v>50</v>
      </c>
      <c r="E5" s="57">
        <v>1.5</v>
      </c>
      <c r="F5" s="57">
        <f>F4*1.5</f>
        <v>20.449945262589601</v>
      </c>
      <c r="G5" s="132">
        <f>F5*B5</f>
        <v>30.674917893884402</v>
      </c>
      <c r="H5" s="104" t="s">
        <v>268</v>
      </c>
    </row>
    <row r="6" spans="1:9" x14ac:dyDescent="0.25">
      <c r="A6" s="29" t="s">
        <v>33</v>
      </c>
      <c r="B6" s="29">
        <v>2</v>
      </c>
      <c r="C6" s="29">
        <v>2</v>
      </c>
      <c r="D6" s="29">
        <v>50</v>
      </c>
      <c r="E6" s="57">
        <v>1.5</v>
      </c>
      <c r="F6" s="57">
        <f>F4*4.33*38.5*1.5/143</f>
        <v>23.839916958041957</v>
      </c>
      <c r="G6" s="132">
        <f>F6*B6</f>
        <v>47.679833916083915</v>
      </c>
      <c r="H6" t="s">
        <v>269</v>
      </c>
    </row>
    <row r="7" spans="1:9" x14ac:dyDescent="0.25">
      <c r="A7" s="29" t="s">
        <v>108</v>
      </c>
      <c r="B7" s="29"/>
      <c r="C7" s="29"/>
      <c r="D7" s="29"/>
      <c r="E7" s="29"/>
      <c r="F7" s="57"/>
      <c r="G7" s="132">
        <f>(B4*F4+G5+G6)/(B4+B5+B6)</f>
        <v>14.362778100391305</v>
      </c>
    </row>
    <row r="8" spans="1:9" x14ac:dyDescent="0.25">
      <c r="A8" s="29" t="s">
        <v>106</v>
      </c>
      <c r="B8" s="29"/>
      <c r="C8" s="29"/>
      <c r="D8" s="29"/>
      <c r="E8" s="29"/>
      <c r="F8" s="134">
        <f>G7-F4</f>
        <v>0.72948125866490265</v>
      </c>
      <c r="G8" s="61">
        <f>F8/F4</f>
        <v>5.3507326007326009E-2</v>
      </c>
      <c r="H8" s="133" t="s">
        <v>220</v>
      </c>
      <c r="I8" s="133"/>
    </row>
    <row r="10" spans="1:9" ht="15.75" x14ac:dyDescent="0.25">
      <c r="A10" s="136" t="s">
        <v>226</v>
      </c>
      <c r="B10" s="135"/>
      <c r="C10" s="135"/>
      <c r="D10" s="135"/>
      <c r="E10" s="135"/>
      <c r="F10" s="135"/>
      <c r="G10" s="135"/>
      <c r="H10" s="135"/>
    </row>
    <row r="11" spans="1:9" ht="15.75" x14ac:dyDescent="0.25">
      <c r="A11" s="136" t="s">
        <v>224</v>
      </c>
      <c r="B11" s="135"/>
      <c r="C11" s="135"/>
      <c r="D11" s="135"/>
      <c r="E11" s="135"/>
      <c r="F11" s="135"/>
      <c r="G11" s="135"/>
      <c r="H11" s="135"/>
    </row>
    <row r="12" spans="1:9" ht="15.75" x14ac:dyDescent="0.25">
      <c r="A12" s="137" t="s">
        <v>225</v>
      </c>
      <c r="B12" s="135"/>
      <c r="C12" s="135"/>
      <c r="D12" s="135"/>
      <c r="E12" s="135"/>
      <c r="F12" s="135"/>
      <c r="G12" s="135"/>
      <c r="H12" s="135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K3</vt:lpstr>
      <vt:lpstr>Lohntabelle Gewerbe 2021</vt:lpstr>
      <vt:lpstr>Lohnnebenkosten</vt:lpstr>
      <vt:lpstr>Andere Lohnbestandteile</vt:lpstr>
      <vt:lpstr>Kalkulierte Mannschaft</vt:lpstr>
      <vt:lpstr>Materialaufstellung</vt:lpstr>
      <vt:lpstr>Aufzahlung für Mehrarbeit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Pöschl</dc:creator>
  <cp:lastModifiedBy>öbv EBP1, freie_DN</cp:lastModifiedBy>
  <dcterms:created xsi:type="dcterms:W3CDTF">2015-09-15T08:30:26Z</dcterms:created>
  <dcterms:modified xsi:type="dcterms:W3CDTF">2020-12-01T11:04:56Z</dcterms:modified>
</cp:coreProperties>
</file>