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U:\Lektorat M I\Berufsschule\AWL\Lehrwerk-Online\AWL_LWO_2019\"/>
    </mc:Choice>
  </mc:AlternateContent>
  <xr:revisionPtr revIDLastSave="0" documentId="13_ncr:1_{60E486AB-2022-47BC-816A-ADD1A892EED7}" xr6:coauthVersionLast="43" xr6:coauthVersionMax="43" xr10:uidLastSave="{00000000-0000-0000-0000-000000000000}"/>
  <bookViews>
    <workbookView xWindow="-110" yWindow="-110" windowWidth="19420" windowHeight="10420" xr2:uid="{00000000-000D-0000-FFFF-FFFF00000000}"/>
  </bookViews>
  <sheets>
    <sheet name="Facharbeiterstunde" sheetId="1" r:id="rId1"/>
    <sheet name="Lehrling 1.LJ" sheetId="2" r:id="rId2"/>
    <sheet name="Lehrling 2.LJ" sheetId="4" r:id="rId3"/>
    <sheet name="Lehrling 3.LJ" sheetId="5" r:id="rId4"/>
    <sheet name="Lohntafel 1.5.16" sheetId="3" r:id="rId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0" i="5" l="1"/>
  <c r="B16" i="5"/>
  <c r="C16" i="5" s="1"/>
  <c r="B16" i="4"/>
  <c r="B16" i="2"/>
  <c r="B16" i="1"/>
  <c r="B10" i="2"/>
  <c r="B6" i="4"/>
  <c r="G23" i="5"/>
  <c r="G22" i="5"/>
  <c r="G21" i="5"/>
  <c r="G19" i="5"/>
  <c r="G9" i="5"/>
  <c r="C9" i="5"/>
  <c r="G8" i="5"/>
  <c r="G7" i="5"/>
  <c r="C7" i="5"/>
  <c r="G6" i="5"/>
  <c r="B6" i="5"/>
  <c r="C6" i="5" s="1"/>
  <c r="G5" i="5"/>
  <c r="B5" i="5"/>
  <c r="C5" i="5" s="1"/>
  <c r="G4" i="5"/>
  <c r="G10" i="5" s="1"/>
  <c r="D4" i="5"/>
  <c r="D9" i="5" s="1"/>
  <c r="G23" i="4"/>
  <c r="G22" i="4"/>
  <c r="G21" i="4"/>
  <c r="G19" i="4"/>
  <c r="G20" i="4"/>
  <c r="B5" i="4"/>
  <c r="G23" i="2"/>
  <c r="G22" i="2"/>
  <c r="G21" i="2"/>
  <c r="G20" i="2"/>
  <c r="G19" i="2"/>
  <c r="B10" i="4" l="1"/>
  <c r="B10" i="5"/>
  <c r="G11" i="5"/>
  <c r="C11" i="5"/>
  <c r="D7" i="5"/>
  <c r="D5" i="5"/>
  <c r="D10" i="5" s="1"/>
  <c r="D6" i="5"/>
  <c r="C16" i="4"/>
  <c r="G9" i="4"/>
  <c r="C9" i="4"/>
  <c r="G8" i="4"/>
  <c r="G7" i="4"/>
  <c r="C7" i="4"/>
  <c r="G6" i="4"/>
  <c r="C6" i="4"/>
  <c r="G5" i="4"/>
  <c r="C5" i="4"/>
  <c r="G4" i="4"/>
  <c r="D4" i="4"/>
  <c r="G10" i="4" l="1"/>
  <c r="G11" i="4" s="1"/>
  <c r="D9" i="4"/>
  <c r="D11" i="5"/>
  <c r="C15" i="5" s="1"/>
  <c r="G15" i="5" s="1"/>
  <c r="C11" i="4"/>
  <c r="D6" i="4"/>
  <c r="D5" i="4"/>
  <c r="D10" i="4" s="1"/>
  <c r="D7" i="4"/>
  <c r="G7" i="2"/>
  <c r="C16" i="2"/>
  <c r="C9" i="2"/>
  <c r="G9" i="2"/>
  <c r="G8" i="2"/>
  <c r="C7" i="2"/>
  <c r="G6" i="2"/>
  <c r="C6" i="2"/>
  <c r="G5" i="2"/>
  <c r="C5" i="2"/>
  <c r="G4" i="2"/>
  <c r="G10" i="2" s="1"/>
  <c r="D4" i="2"/>
  <c r="C16" i="1"/>
  <c r="C9" i="1"/>
  <c r="H8" i="1"/>
  <c r="H7" i="1"/>
  <c r="H6" i="1"/>
  <c r="H5" i="1"/>
  <c r="H4" i="1"/>
  <c r="H9" i="1" s="1"/>
  <c r="D4" i="1"/>
  <c r="C5" i="1"/>
  <c r="C6" i="1"/>
  <c r="C11" i="1" s="1"/>
  <c r="C7" i="1"/>
  <c r="D9" i="1" l="1"/>
  <c r="D9" i="2"/>
  <c r="G11" i="2"/>
  <c r="H10" i="1"/>
  <c r="C20" i="5"/>
  <c r="C17" i="5"/>
  <c r="C21" i="5"/>
  <c r="C19" i="5"/>
  <c r="C18" i="5"/>
  <c r="D6" i="1"/>
  <c r="D7" i="1"/>
  <c r="D5" i="1"/>
  <c r="D11" i="4"/>
  <c r="C15" i="4" s="1"/>
  <c r="D7" i="2"/>
  <c r="D10" i="2" s="1"/>
  <c r="D6" i="2"/>
  <c r="D5" i="2"/>
  <c r="D10" i="1" l="1"/>
  <c r="D11" i="1" s="1"/>
  <c r="C18" i="4"/>
  <c r="G15" i="4"/>
  <c r="C22" i="5"/>
  <c r="C23" i="5" s="1"/>
  <c r="C24" i="5" s="1"/>
  <c r="C19" i="4"/>
  <c r="C17" i="4"/>
  <c r="C20" i="4"/>
  <c r="C21" i="4"/>
  <c r="D11" i="2"/>
  <c r="H12" i="1" l="1"/>
  <c r="C15" i="1"/>
  <c r="H15" i="1" s="1"/>
  <c r="C15" i="2"/>
  <c r="G15" i="2" s="1"/>
  <c r="C11" i="2"/>
  <c r="C25" i="5"/>
  <c r="C26" i="5" s="1"/>
  <c r="C22" i="4"/>
  <c r="C23" i="4" s="1"/>
  <c r="C24" i="4" s="1"/>
  <c r="C25" i="4" s="1"/>
  <c r="C26" i="4" s="1"/>
  <c r="C17" i="1"/>
  <c r="C21" i="1"/>
  <c r="C18" i="1"/>
  <c r="C20" i="1"/>
  <c r="C18" i="2"/>
  <c r="C17" i="2"/>
  <c r="C20" i="2"/>
  <c r="C21" i="2" l="1"/>
  <c r="C19" i="2"/>
  <c r="C22" i="2" s="1"/>
  <c r="C23" i="2" s="1"/>
  <c r="C24" i="2" s="1"/>
  <c r="C19" i="1"/>
  <c r="C22" i="1" s="1"/>
  <c r="C23" i="1" s="1"/>
  <c r="C24" i="1" s="1"/>
  <c r="C25" i="1" s="1"/>
  <c r="C26" i="1" s="1"/>
  <c r="C25" i="2" l="1"/>
  <c r="C26" i="2" s="1"/>
</calcChain>
</file>

<file path=xl/sharedStrings.xml><?xml version="1.0" encoding="utf-8"?>
<sst xmlns="http://schemas.openxmlformats.org/spreadsheetml/2006/main" count="267" uniqueCount="156">
  <si>
    <t>Kalkulation Regiestundensatz</t>
  </si>
  <si>
    <t>Lohnkosten</t>
  </si>
  <si>
    <t>Arbeitzzeit</t>
  </si>
  <si>
    <t>Arbeitgeberanteil zur Sozialversicherung</t>
  </si>
  <si>
    <t>Dienstgeberbeitrag</t>
  </si>
  <si>
    <t>Kommunalsteuer</t>
  </si>
  <si>
    <t>Freiwillige Sozialleistungen</t>
  </si>
  <si>
    <t>pro Stunde</t>
  </si>
  <si>
    <t>pro Jahr</t>
  </si>
  <si>
    <t>Kosten</t>
  </si>
  <si>
    <t xml:space="preserve"> </t>
  </si>
  <si>
    <t>Normalarbeitszeit</t>
  </si>
  <si>
    <t>- 5 Wochen Urlaub</t>
  </si>
  <si>
    <t>- 13 Feiertage</t>
  </si>
  <si>
    <t>- 2 Wochen Krankenstand</t>
  </si>
  <si>
    <t>- Pflegeurlaub</t>
  </si>
  <si>
    <t>Betriebliche Mitarbeitervorsorge</t>
  </si>
  <si>
    <t>- unproduktive Arbeitszeit</t>
  </si>
  <si>
    <t>=Verrechenbare Stunden</t>
  </si>
  <si>
    <t>Lohnnebenkosten in Prozent</t>
  </si>
  <si>
    <t>Sonderzahlungen</t>
  </si>
  <si>
    <t>+ Auswärtsdiäten anteilig pro Stunde</t>
  </si>
  <si>
    <t>Haftpflichtversicherung</t>
  </si>
  <si>
    <t>Ausrüstung mit Kleingeräten</t>
  </si>
  <si>
    <t>Kleinmaterial</t>
  </si>
  <si>
    <t>Lohnverrechnung anteilig</t>
  </si>
  <si>
    <t>Andere allgemeine Kosten</t>
  </si>
  <si>
    <t>= Nettopreis pro Arbeitsstunde</t>
  </si>
  <si>
    <t>+20 % Umsatzsteuer</t>
  </si>
  <si>
    <t>= Bruttopreis einer Arbeitsstunde</t>
  </si>
  <si>
    <t>Selbstkosten einer Arbeitsstunde</t>
  </si>
  <si>
    <t>für einzelne Facharbeiterstunden</t>
  </si>
  <si>
    <t>für einzelne Lehrlingsstunden</t>
  </si>
  <si>
    <t>- 10 Wochen Berufsschule</t>
  </si>
  <si>
    <t>Lehrlingsentschädigung</t>
  </si>
  <si>
    <t>im 1. Lehrjahr:</t>
  </si>
  <si>
    <t>im 2. Lehrjahr:</t>
  </si>
  <si>
    <t>im 3. Lehrjahr:</t>
  </si>
  <si>
    <t>im 4. Lehrjahr:</t>
  </si>
  <si>
    <t>Lehrlinge, die nach Vollendung des 18. Lebensjahres in die Lehre eintreten</t>
  </si>
  <si>
    <t>Artikel 3 – Lohntafel</t>
  </si>
  <si>
    <t>Beschäftigungsgruppe</t>
  </si>
  <si>
    <t>Stundenlohn</t>
  </si>
  <si>
    <t>in €</t>
  </si>
  <si>
    <t>I. Vizepolier</t>
  </si>
  <si>
    <t>(Hauptgerüster, Hauptpartieführer im Straßenbau, Hilfspolier)</t>
  </si>
  <si>
    <t>II. Facharbeiter</t>
  </si>
  <si>
    <t>(das sind Arbeitnehmer, die in ihrem erlernten Beruf beschäftigt werden bzw. für die Beschäftigung in diesem Beruf als Facharbeiter vermittelt oder aufgenommen wurden)</t>
  </si>
  <si>
    <t>a)</t>
  </si>
  <si>
    <t>Vorarbeiter</t>
  </si>
  <si>
    <t>b)</t>
  </si>
  <si>
    <t>Facharbeiter</t>
  </si>
  <si>
    <t>III. Angelernte Bauarbeiter</t>
  </si>
  <si>
    <t>(das sind für besondere Arbeiten qualifizierte Arbeiter)</t>
  </si>
  <si>
    <t>Asphaltierervorarbeiter,</t>
  </si>
  <si>
    <t>Baggerführer,</t>
  </si>
  <si>
    <t>Drittelführer,</t>
  </si>
  <si>
    <t>Düsenführer von Mörtelspritzmaschinen,</t>
  </si>
  <si>
    <t>Eisenbahnoberbauvorarbeiter,</t>
  </si>
  <si>
    <t>Führer von motorisch betriebenen Turm- und Derrick-Kränen,</t>
  </si>
  <si>
    <t>Führer von Grädern, Straßenfertigern und Zugmaschinen mit einer Motorenleistung von 90 PS und darüber,</t>
  </si>
  <si>
    <t>Führer von Lastkraftwagen mit mehr als 10 t Eigengewicht,</t>
  </si>
  <si>
    <t>Führer von Großraumfahrzeugen ab 7,5 t Nutzlast,</t>
  </si>
  <si>
    <t>Führer von Raupenfahrzeugen mit einem Eigengewicht von 10 t und darüber,</t>
  </si>
  <si>
    <t>Führer von Schrägaufzügen und Seilbahnen, wenn diese Verkehrsmittel zur Personenbeförderung zugelassen sind,</t>
  </si>
  <si>
    <t>Kabelkranführer,</t>
  </si>
  <si>
    <t>Partieführer im Straßenbau,</t>
  </si>
  <si>
    <t>Sprengmeister (Sprengbefugter laut Sprengarbeiten-Verordnung)</t>
  </si>
  <si>
    <t>Führer von Zugmaschinen mit einer Motorenleistung von 45 PS und darüber,</t>
  </si>
  <si>
    <t>Führer von Lastkraftwagen mit mehr als 5 t Eigengewicht,</t>
  </si>
  <si>
    <t>Führer von Raupenfahrzeugen mit 5 bis 10 t Eigengewicht,</t>
  </si>
  <si>
    <t>Führer von Lokomotiven mit mindestens 5 t Eigengewicht,</t>
  </si>
  <si>
    <t>Maschinist an Heißmischmaschinen,</t>
  </si>
  <si>
    <t>Mineur,</t>
  </si>
  <si>
    <t>Montierer im Eisenbahnoberbau,</t>
  </si>
  <si>
    <t>Schweißer (für Autogen- und Elektroverfahren)</t>
  </si>
  <si>
    <t>Steinmaurer</t>
  </si>
  <si>
    <t>c)</t>
  </si>
  <si>
    <t>Asphaltierer, die mit Gußasphalt arbeiten,</t>
  </si>
  <si>
    <t>Gerüster,</t>
  </si>
  <si>
    <t>Schaler,</t>
  </si>
  <si>
    <t>Eisenbieger und Eisenflechter</t>
  </si>
  <si>
    <t>d)</t>
  </si>
  <si>
    <t>Abbrucharbeiter im Straßenbau von Hand aus,</t>
  </si>
  <si>
    <t>Asphaltierer, die mit qualifizierten Tätigkeiten beim Einbau bituminöser Beläge betraut sind und eine entsprechende Ausbildung und Erfahrung aufweisen,</t>
  </si>
  <si>
    <t>Bermenschlichter,</t>
  </si>
  <si>
    <t>Betonierer,</t>
  </si>
  <si>
    <t>Fahrer von Fahrzeugen mit Eigenantrieb, soweit sie nicht in einer der Beschäftigungsgruppen dieser Lohntafel gesondert angeführt sind,</t>
  </si>
  <si>
    <t>Gleiswerker,</t>
  </si>
  <si>
    <t>Grundbauleger,</t>
  </si>
  <si>
    <t>Hilfskoch,</t>
  </si>
  <si>
    <t>Kesselmann,</t>
  </si>
  <si>
    <t>Maschinist an motorisch betriebenen Geräten und Maschinen, soweit sie nicht in einer der Beschäftigungsgruppen dieser Lohntafel gesondert angeführt sind,</t>
  </si>
  <si>
    <t>Planierer,</t>
  </si>
  <si>
    <t>Spritzer</t>
  </si>
  <si>
    <t>e)</t>
  </si>
  <si>
    <t>Baggerschmierer,</t>
  </si>
  <si>
    <t>Generator-, Kompressor- und Pumpenwärter,</t>
  </si>
  <si>
    <t>Gleisbauer,</t>
  </si>
  <si>
    <t>Grünverbauer,</t>
  </si>
  <si>
    <t>Stollenschlepper</t>
  </si>
  <si>
    <t>IV. Bauhilfsarbeiter</t>
  </si>
  <si>
    <t>V. Sonstiges Hilfspersonal</t>
  </si>
  <si>
    <t>Bediener,</t>
  </si>
  <si>
    <t>Bote,</t>
  </si>
  <si>
    <t>Küchenpersonal,</t>
  </si>
  <si>
    <t>Portier,</t>
  </si>
  <si>
    <t>Wächter</t>
  </si>
  <si>
    <t>VI. Lehrlinge</t>
  </si>
  <si>
    <t>im 1. Lehrjahr 40 Prozent des Facharbeiterlohnes der Beschäftigungsgruppe II b), das sind</t>
  </si>
  <si>
    <t>im 2. Lehrjahr 60 Prozent des Facharbeiterlohnes der Beschäftigungsgruppe II b), das sind</t>
  </si>
  <si>
    <t>im 3. Lehrjahr 80 Prozent des Facharbeiterlohnes der Beschäftigungsgruppe II b), das sind</t>
  </si>
  <si>
    <t>im 4. Lehrjahr bei Erlernung von Doppelberufen 90 Prozent des Facharbeiterlohnes der Beschäftigungsgruppe II b), das sind</t>
  </si>
  <si>
    <t>Lehrlinge, die nach Vollendung des 18. Lebensjahres in die Lehre eintreten, erhalten 80 Prozent des Facharbeiterlohnes der Lohnkategorie II b), das sind</t>
  </si>
  <si>
    <t>VII. Praktikanten</t>
  </si>
  <si>
    <t>Pflichtpraktikanten, das sind Schüler und Studenten, die eine im Rahmen des Lehrplanes bzw. der Studienordnung vorgeschriebene oder übliche praktische Tätigkeit verrichten, in Höhe der Lohngruppe VIa (Lehrlingsentschädigung für das 1. Lehrjahr), das sind</t>
  </si>
  <si>
    <t>Ferialarbeitnehmer, das sind solche, die unter lit a) fallen und in Zeiten von Schulferien vorübergehend beschäftigt werden, in Höhe der Lohngruppe VIb (Lehrlingsentschädigung für das 2. Lehrjahr), das sind</t>
  </si>
  <si>
    <t>Bruttolohn 1. Lehrjahr</t>
  </si>
  <si>
    <t>Bruttolohn 2. Lehrjahr</t>
  </si>
  <si>
    <t>geschätzt</t>
  </si>
  <si>
    <t>39 Std, 52 Wochen</t>
  </si>
  <si>
    <t>39 Std, 5 Wochen</t>
  </si>
  <si>
    <t>39/5 x 13 Tage</t>
  </si>
  <si>
    <t>39 Std, 2 Wochen</t>
  </si>
  <si>
    <t>39 Std/5 x 2 Tage</t>
  </si>
  <si>
    <t xml:space="preserve">3,5 % von 2028 Std. </t>
  </si>
  <si>
    <t>verbleibende Zeit</t>
  </si>
  <si>
    <t>Jahresstunden</t>
  </si>
  <si>
    <t>Kosten einer bezahlten Stunde</t>
  </si>
  <si>
    <t>Kalkulation:</t>
  </si>
  <si>
    <t>Kosten produktiver Stunden</t>
  </si>
  <si>
    <t>=D11/H10</t>
  </si>
  <si>
    <t>=H12/C4-100</t>
  </si>
  <si>
    <t>Bruttolohn gemäß KV</t>
  </si>
  <si>
    <t>- 10 Tage Krankenstand</t>
  </si>
  <si>
    <t>- 2 Tage Dienstverhinderung</t>
  </si>
  <si>
    <t>Kosten einer produktiven Stunde</t>
  </si>
  <si>
    <t>Ausrüstung mit Kleingeräten (geschätzt)</t>
  </si>
  <si>
    <t>Dienstgeberbeitrag+ Zuschlag</t>
  </si>
  <si>
    <t>ab 1.5.2019</t>
  </si>
  <si>
    <t>Dienstreisevergütungen:</t>
  </si>
  <si>
    <t>Taggeld §9 Z4 lit a</t>
  </si>
  <si>
    <t>Taggeld §9 Z4 Lit b</t>
  </si>
  <si>
    <t>Taggeld §9 Z 5, 5a, und 6</t>
  </si>
  <si>
    <t>Übernachtungsgeld</t>
  </si>
  <si>
    <t>- 2,5 % unproduktive Zeit</t>
  </si>
  <si>
    <t>Freiwillige Sozialleistungen geschätzt</t>
  </si>
  <si>
    <t>Sonderzahlungen (Weihnachtsgeld)</t>
  </si>
  <si>
    <t>Lehrlingsentschädigung pro Monat</t>
  </si>
  <si>
    <t>Lehrlingsentschädigung monatlich nach KV</t>
  </si>
  <si>
    <t>Normalarbeitszeit 52 Wochen x 39 Stunden</t>
  </si>
  <si>
    <t>24 % Gemeinkosten und Gewinn</t>
  </si>
  <si>
    <t>Kosten pro Arbeitsstunde</t>
  </si>
  <si>
    <t>Kosten pro Stunde</t>
  </si>
  <si>
    <t>Kalkulation Regiestundensatz*</t>
  </si>
  <si>
    <t xml:space="preserve">* Die Zahlen betreffend der Höhe der Auswärtsdiäten, Haftpflichtversicherung, Ausrüstung mit Kleingeräten, Kleinmaterial, anteilige Lohnverrechnung und andere allgemeine Kosten sind in Anlehnung an das K3-Formblatt geschätzt.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</si>
</sst>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7]_-;\-* #,##0.00\ [$€-407]_-;_-* &quot;-&quot;??\ [$€-407]_-;_-@_-"/>
    <numFmt numFmtId="165" formatCode="_-[$€-C07]\ * #,##0.00_-;\-[$€-C07]\ * #,##0.00_-;_-[$€-C07]\ * &quot;-&quot;??_-;_-@_-"/>
  </numFmts>
  <fonts count="5" x14ac:knownFonts="1">
    <font>
      <sz val="11"/>
      <color theme="1"/>
      <name val="Calibri"/>
      <family val="2"/>
    </font>
    <font>
      <sz val="11"/>
      <color theme="1"/>
      <name val="Calibri"/>
      <family val="2"/>
    </font>
    <font>
      <b/>
      <sz val="11"/>
      <color theme="1"/>
      <name val="Calibri"/>
      <family val="2"/>
    </font>
    <font>
      <b/>
      <sz val="12"/>
      <color theme="1"/>
      <name val="Calibri"/>
      <family val="2"/>
    </font>
    <font>
      <b/>
      <sz val="14"/>
      <color theme="1"/>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164" fontId="0" fillId="0" borderId="0" xfId="0" applyNumberFormat="1"/>
    <xf numFmtId="49" fontId="0" fillId="0" borderId="0" xfId="0" applyNumberFormat="1"/>
    <xf numFmtId="49" fontId="3" fillId="2" borderId="0" xfId="0" applyNumberFormat="1" applyFont="1" applyFill="1"/>
    <xf numFmtId="49" fontId="2" fillId="2" borderId="0" xfId="0" applyNumberFormat="1" applyFont="1" applyFill="1"/>
    <xf numFmtId="49" fontId="0" fillId="0" borderId="1" xfId="0" applyNumberFormat="1" applyBorder="1"/>
    <xf numFmtId="9" fontId="0" fillId="0" borderId="1" xfId="0" applyNumberFormat="1" applyBorder="1"/>
    <xf numFmtId="164" fontId="0" fillId="0" borderId="1" xfId="0" applyNumberFormat="1" applyBorder="1"/>
    <xf numFmtId="10" fontId="0" fillId="0" borderId="1" xfId="0" applyNumberFormat="1" applyBorder="1"/>
    <xf numFmtId="165" fontId="0" fillId="0" borderId="1" xfId="0" applyNumberFormat="1" applyBorder="1"/>
    <xf numFmtId="49" fontId="2" fillId="0" borderId="1" xfId="0" applyNumberFormat="1" applyFont="1" applyBorder="1"/>
    <xf numFmtId="0" fontId="2" fillId="0" borderId="1" xfId="0" applyFont="1" applyBorder="1"/>
    <xf numFmtId="164" fontId="2" fillId="0" borderId="1" xfId="0" applyNumberFormat="1" applyFont="1" applyBorder="1"/>
    <xf numFmtId="165" fontId="2" fillId="0" borderId="1" xfId="0" applyNumberFormat="1" applyFont="1" applyBorder="1"/>
    <xf numFmtId="0" fontId="0" fillId="0" borderId="1" xfId="0" applyBorder="1"/>
    <xf numFmtId="165" fontId="0" fillId="0" borderId="1" xfId="1" applyNumberFormat="1" applyFont="1" applyBorder="1"/>
    <xf numFmtId="49" fontId="2" fillId="2" borderId="1" xfId="0" applyNumberFormat="1" applyFont="1" applyFill="1" applyBorder="1"/>
    <xf numFmtId="165" fontId="2" fillId="2" borderId="1" xfId="0" applyNumberFormat="1" applyFont="1" applyFill="1" applyBorder="1"/>
    <xf numFmtId="0" fontId="4" fillId="0" borderId="0" xfId="0" applyFont="1"/>
    <xf numFmtId="0" fontId="0" fillId="0" borderId="2" xfId="0" applyBorder="1" applyAlignment="1">
      <alignment vertical="center" wrapText="1"/>
    </xf>
    <xf numFmtId="0" fontId="2" fillId="0" borderId="0" xfId="0" applyFont="1"/>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0" fontId="2" fillId="3" borderId="1" xfId="0" applyFont="1" applyFill="1" applyBorder="1"/>
    <xf numFmtId="49" fontId="2" fillId="3" borderId="1" xfId="0" applyNumberFormat="1" applyFont="1" applyFill="1" applyBorder="1"/>
    <xf numFmtId="164" fontId="2" fillId="3" borderId="1" xfId="0" applyNumberFormat="1" applyFont="1" applyFill="1" applyBorder="1"/>
    <xf numFmtId="49" fontId="2" fillId="0" borderId="0" xfId="0" applyNumberFormat="1" applyFont="1"/>
    <xf numFmtId="49" fontId="3" fillId="3" borderId="0" xfId="0" applyNumberFormat="1" applyFont="1" applyFill="1"/>
    <xf numFmtId="165" fontId="2" fillId="0" borderId="0" xfId="0" applyNumberFormat="1" applyFont="1"/>
    <xf numFmtId="49" fontId="2" fillId="4" borderId="1" xfId="0" applyNumberFormat="1" applyFont="1" applyFill="1" applyBorder="1"/>
    <xf numFmtId="165" fontId="2" fillId="4" borderId="1" xfId="0" applyNumberFormat="1" applyFont="1" applyFill="1" applyBorder="1"/>
    <xf numFmtId="165" fontId="2" fillId="0" borderId="2" xfId="0" applyNumberFormat="1" applyFont="1" applyBorder="1" applyAlignment="1">
      <alignment horizontal="center" vertical="center" wrapText="1"/>
    </xf>
    <xf numFmtId="165" fontId="0" fillId="0" borderId="0" xfId="2" applyNumberFormat="1" applyFont="1"/>
    <xf numFmtId="10" fontId="2" fillId="0" borderId="1" xfId="2" applyNumberFormat="1" applyFont="1" applyBorder="1"/>
    <xf numFmtId="165" fontId="0"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0" fontId="0" fillId="0" borderId="1" xfId="2" applyNumberFormat="1" applyFont="1" applyBorder="1"/>
    <xf numFmtId="49" fontId="2" fillId="5" borderId="1" xfId="0" applyNumberFormat="1" applyFont="1" applyFill="1" applyBorder="1"/>
    <xf numFmtId="165" fontId="0" fillId="5" borderId="1" xfId="0" applyNumberFormat="1" applyFill="1" applyBorder="1"/>
    <xf numFmtId="165" fontId="2" fillId="5" borderId="1" xfId="0" applyNumberFormat="1" applyFont="1" applyFill="1" applyBorder="1"/>
    <xf numFmtId="0" fontId="4" fillId="0" borderId="7" xfId="0" applyFont="1" applyBorder="1" applyAlignment="1">
      <alignment vertical="center" wrapText="1"/>
    </xf>
    <xf numFmtId="0" fontId="4" fillId="0" borderId="13" xfId="0" applyFont="1" applyBorder="1" applyAlignment="1">
      <alignment vertical="center" wrapText="1"/>
    </xf>
    <xf numFmtId="0" fontId="4" fillId="0" borderId="8" xfId="0" applyFont="1" applyBorder="1" applyAlignment="1">
      <alignment vertical="center"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9"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vertical="center"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4" fillId="0" borderId="10" xfId="0" applyFont="1" applyBorder="1" applyAlignment="1">
      <alignment horizontal="center" wrapText="1"/>
    </xf>
    <xf numFmtId="0" fontId="4" fillId="0" borderId="14" xfId="0" applyFont="1" applyBorder="1" applyAlignment="1">
      <alignment horizontal="left" vertical="top" wrapText="1"/>
    </xf>
    <xf numFmtId="0" fontId="4" fillId="0" borderId="16"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4" xfId="0" applyFont="1" applyBorder="1" applyAlignment="1">
      <alignment vertical="center" wrapText="1"/>
    </xf>
    <xf numFmtId="0" fontId="4" fillId="0" borderId="16" xfId="0" applyFont="1" applyBorder="1" applyAlignment="1">
      <alignment vertical="center" wrapText="1"/>
    </xf>
    <xf numFmtId="0" fontId="4" fillId="0" borderId="15"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49" fontId="0" fillId="0" borderId="0" xfId="0" applyNumberFormat="1" applyFill="1" applyBorder="1"/>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workbookViewId="0">
      <selection activeCell="A32" sqref="A32"/>
    </sheetView>
  </sheetViews>
  <sheetFormatPr baseColWidth="10" defaultRowHeight="14.5" x14ac:dyDescent="0.35"/>
  <cols>
    <col min="1" max="1" width="37" customWidth="1"/>
    <col min="4" max="4" width="12.81640625" bestFit="1" customWidth="1"/>
    <col min="5" max="5" width="5.1796875" customWidth="1"/>
    <col min="6" max="6" width="26.54296875" customWidth="1"/>
    <col min="7" max="7" width="18.7265625" customWidth="1"/>
  </cols>
  <sheetData>
    <row r="1" spans="1:8" ht="18.5" x14ac:dyDescent="0.45">
      <c r="A1" s="18" t="s">
        <v>154</v>
      </c>
      <c r="B1" t="s">
        <v>31</v>
      </c>
    </row>
    <row r="3" spans="1:8" ht="15.5" x14ac:dyDescent="0.35">
      <c r="A3" s="3" t="s">
        <v>1</v>
      </c>
      <c r="C3" t="s">
        <v>7</v>
      </c>
      <c r="D3" t="s">
        <v>8</v>
      </c>
      <c r="F3" s="4" t="s">
        <v>2</v>
      </c>
      <c r="H3" t="s">
        <v>127</v>
      </c>
    </row>
    <row r="4" spans="1:8" x14ac:dyDescent="0.35">
      <c r="A4" s="5" t="s">
        <v>133</v>
      </c>
      <c r="B4" s="6">
        <v>1</v>
      </c>
      <c r="C4" s="34">
        <v>14.68</v>
      </c>
      <c r="D4" s="7">
        <f>C4*39*52</f>
        <v>29771.040000000001</v>
      </c>
      <c r="F4" s="5" t="s">
        <v>11</v>
      </c>
      <c r="G4" s="2" t="s">
        <v>120</v>
      </c>
      <c r="H4" s="14">
        <f>39*52</f>
        <v>2028</v>
      </c>
    </row>
    <row r="5" spans="1:8" x14ac:dyDescent="0.35">
      <c r="A5" s="5" t="s">
        <v>3</v>
      </c>
      <c r="B5" s="8">
        <v>0.2208</v>
      </c>
      <c r="C5" s="9">
        <f>C4*B5</f>
        <v>3.2413439999999998</v>
      </c>
      <c r="D5" s="9">
        <f>D4*B5</f>
        <v>6573.4456319999999</v>
      </c>
      <c r="F5" s="5" t="s">
        <v>12</v>
      </c>
      <c r="G5" s="2" t="s">
        <v>121</v>
      </c>
      <c r="H5" s="14">
        <f>5*39</f>
        <v>195</v>
      </c>
    </row>
    <row r="6" spans="1:8" x14ac:dyDescent="0.35">
      <c r="A6" s="5" t="s">
        <v>138</v>
      </c>
      <c r="B6" s="8">
        <v>4.2999999999999997E-2</v>
      </c>
      <c r="C6" s="9">
        <f>C4*B6</f>
        <v>0.63123999999999991</v>
      </c>
      <c r="D6" s="9">
        <f>D4*B6</f>
        <v>1280.15472</v>
      </c>
      <c r="F6" s="5" t="s">
        <v>13</v>
      </c>
      <c r="G6" s="2" t="s">
        <v>122</v>
      </c>
      <c r="H6" s="14">
        <f>39/5*13</f>
        <v>101.39999999999999</v>
      </c>
    </row>
    <row r="7" spans="1:8" x14ac:dyDescent="0.35">
      <c r="A7" s="5" t="s">
        <v>5</v>
      </c>
      <c r="B7" s="6">
        <v>0.03</v>
      </c>
      <c r="C7" s="9">
        <f>C4*B7</f>
        <v>0.44039999999999996</v>
      </c>
      <c r="D7" s="9">
        <f>D4*B7</f>
        <v>893.13120000000004</v>
      </c>
      <c r="F7" s="5" t="s">
        <v>14</v>
      </c>
      <c r="G7" s="2" t="s">
        <v>123</v>
      </c>
      <c r="H7" s="14">
        <f>39*2</f>
        <v>78</v>
      </c>
    </row>
    <row r="8" spans="1:8" x14ac:dyDescent="0.35">
      <c r="A8" s="5" t="s">
        <v>6</v>
      </c>
      <c r="B8" s="6" t="s">
        <v>119</v>
      </c>
      <c r="C8" s="9"/>
      <c r="D8" s="9">
        <v>160</v>
      </c>
      <c r="F8" s="5" t="s">
        <v>15</v>
      </c>
      <c r="G8" s="2" t="s">
        <v>124</v>
      </c>
      <c r="H8" s="14">
        <f>39/5*2.2</f>
        <v>17.16</v>
      </c>
    </row>
    <row r="9" spans="1:8" x14ac:dyDescent="0.35">
      <c r="A9" s="5" t="s">
        <v>16</v>
      </c>
      <c r="B9" s="8">
        <v>1.5299999999999999E-2</v>
      </c>
      <c r="C9" s="9">
        <f>C4*B9</f>
        <v>0.224604</v>
      </c>
      <c r="D9" s="9">
        <f>D4*B9</f>
        <v>455.49691200000001</v>
      </c>
      <c r="F9" s="5" t="s">
        <v>17</v>
      </c>
      <c r="G9" s="2" t="s">
        <v>125</v>
      </c>
      <c r="H9" s="14">
        <f>H4/100*3.5</f>
        <v>70.98</v>
      </c>
    </row>
    <row r="10" spans="1:8" x14ac:dyDescent="0.35">
      <c r="A10" s="5" t="s">
        <v>20</v>
      </c>
      <c r="B10" s="8">
        <v>6.8199999999999997E-2</v>
      </c>
      <c r="C10" s="9"/>
      <c r="D10" s="9">
        <f>(D4+D5+D6+D7)*B10</f>
        <v>2626.9120198464002</v>
      </c>
      <c r="F10" s="33" t="s">
        <v>18</v>
      </c>
      <c r="G10" s="2" t="s">
        <v>126</v>
      </c>
      <c r="H10" s="32">
        <f>H4-H5-H6-H7-H8-H9</f>
        <v>1565.4599999999998</v>
      </c>
    </row>
    <row r="11" spans="1:8" x14ac:dyDescent="0.35">
      <c r="A11" s="10" t="s">
        <v>128</v>
      </c>
      <c r="B11" s="11"/>
      <c r="C11" s="12">
        <f>C4+C5+C6+C7+C9</f>
        <v>19.217587999999996</v>
      </c>
      <c r="D11" s="13">
        <f>SUM(D4:D10)</f>
        <v>41760.180483846409</v>
      </c>
      <c r="F11" s="2"/>
    </row>
    <row r="12" spans="1:8" x14ac:dyDescent="0.35">
      <c r="A12" s="2"/>
      <c r="C12" s="1" t="s">
        <v>10</v>
      </c>
      <c r="F12" s="35" t="s">
        <v>130</v>
      </c>
      <c r="G12" s="35" t="s">
        <v>131</v>
      </c>
      <c r="H12" s="37">
        <f>D11/H10</f>
        <v>26.675980532141615</v>
      </c>
    </row>
    <row r="13" spans="1:8" x14ac:dyDescent="0.35">
      <c r="A13" s="2"/>
      <c r="F13" s="2"/>
    </row>
    <row r="14" spans="1:8" ht="15.5" x14ac:dyDescent="0.35">
      <c r="A14" s="36" t="s">
        <v>129</v>
      </c>
      <c r="F14" s="2"/>
    </row>
    <row r="15" spans="1:8" x14ac:dyDescent="0.35">
      <c r="A15" s="46" t="s">
        <v>136</v>
      </c>
      <c r="B15" s="14"/>
      <c r="C15" s="48">
        <f>D11/H10</f>
        <v>26.675980532141615</v>
      </c>
      <c r="F15" s="11" t="s">
        <v>19</v>
      </c>
      <c r="G15" s="2" t="s">
        <v>132</v>
      </c>
      <c r="H15" s="42">
        <f>(C15*100/C4-100)/100</f>
        <v>0.81716488638566853</v>
      </c>
    </row>
    <row r="16" spans="1:8" x14ac:dyDescent="0.35">
      <c r="A16" s="5" t="s">
        <v>21</v>
      </c>
      <c r="B16" s="14">
        <f>'Lohntafel 1.5.16'!C76/8</f>
        <v>2.15</v>
      </c>
      <c r="C16" s="15">
        <f>B16</f>
        <v>2.15</v>
      </c>
    </row>
    <row r="17" spans="1:3" x14ac:dyDescent="0.35">
      <c r="A17" s="5" t="s">
        <v>22</v>
      </c>
      <c r="B17" s="8">
        <v>2.5000000000000001E-2</v>
      </c>
      <c r="C17" s="9">
        <f>C15*B17</f>
        <v>0.66689951330354047</v>
      </c>
    </row>
    <row r="18" spans="1:3" x14ac:dyDescent="0.35">
      <c r="A18" s="5" t="s">
        <v>137</v>
      </c>
      <c r="B18" s="8">
        <v>3.4000000000000002E-2</v>
      </c>
      <c r="C18" s="9">
        <f>C15*B18</f>
        <v>0.90698333809281495</v>
      </c>
    </row>
    <row r="19" spans="1:3" x14ac:dyDescent="0.35">
      <c r="A19" s="5" t="s">
        <v>24</v>
      </c>
      <c r="B19" s="6">
        <v>0.02</v>
      </c>
      <c r="C19" s="9">
        <f>C15*B19</f>
        <v>0.53351961064283226</v>
      </c>
    </row>
    <row r="20" spans="1:3" x14ac:dyDescent="0.35">
      <c r="A20" s="5" t="s">
        <v>25</v>
      </c>
      <c r="B20" s="8">
        <v>2.3E-2</v>
      </c>
      <c r="C20" s="9">
        <f>C15*B20</f>
        <v>0.61354755223925717</v>
      </c>
    </row>
    <row r="21" spans="1:3" x14ac:dyDescent="0.35">
      <c r="A21" s="5" t="s">
        <v>26</v>
      </c>
      <c r="B21" s="6">
        <v>0.01</v>
      </c>
      <c r="C21" s="9">
        <f>C15*B21</f>
        <v>0.26675980532141613</v>
      </c>
    </row>
    <row r="22" spans="1:3" x14ac:dyDescent="0.35">
      <c r="A22" s="16" t="s">
        <v>30</v>
      </c>
      <c r="B22" s="14"/>
      <c r="C22" s="17">
        <f>SUM(C15:C21)</f>
        <v>31.813690351741474</v>
      </c>
    </row>
    <row r="23" spans="1:3" x14ac:dyDescent="0.35">
      <c r="A23" s="5" t="s">
        <v>151</v>
      </c>
      <c r="B23" s="6">
        <v>0.24</v>
      </c>
      <c r="C23" s="9">
        <f>C22*B23</f>
        <v>7.635285684417954</v>
      </c>
    </row>
    <row r="24" spans="1:3" x14ac:dyDescent="0.35">
      <c r="A24" s="5" t="s">
        <v>27</v>
      </c>
      <c r="B24" s="14"/>
      <c r="C24" s="9">
        <f>C22+C23</f>
        <v>39.448976036159429</v>
      </c>
    </row>
    <row r="25" spans="1:3" x14ac:dyDescent="0.35">
      <c r="A25" s="5" t="s">
        <v>28</v>
      </c>
      <c r="B25" s="6">
        <v>0.2</v>
      </c>
      <c r="C25" s="9">
        <f>C24*B25</f>
        <v>7.8897952072318862</v>
      </c>
    </row>
    <row r="26" spans="1:3" x14ac:dyDescent="0.35">
      <c r="A26" s="38" t="s">
        <v>29</v>
      </c>
      <c r="B26" s="14"/>
      <c r="C26" s="39">
        <f>C24+C25</f>
        <v>47.338771243391314</v>
      </c>
    </row>
    <row r="27" spans="1:3" x14ac:dyDescent="0.35">
      <c r="A27" s="2"/>
    </row>
    <row r="28" spans="1:3" x14ac:dyDescent="0.35">
      <c r="A28" s="2"/>
    </row>
    <row r="29" spans="1:3" x14ac:dyDescent="0.35">
      <c r="A29" s="78" t="s">
        <v>155</v>
      </c>
    </row>
  </sheetData>
  <pageMargins left="0.7" right="0.7" top="0.78740157499999996" bottom="0.78740157499999996"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workbookViewId="0">
      <selection activeCell="A24" sqref="A24"/>
    </sheetView>
  </sheetViews>
  <sheetFormatPr baseColWidth="10" defaultRowHeight="14.5" x14ac:dyDescent="0.35"/>
  <cols>
    <col min="1" max="1" width="37.453125" customWidth="1"/>
    <col min="3" max="3" width="12.81640625" bestFit="1" customWidth="1"/>
    <col min="4" max="4" width="14" customWidth="1"/>
    <col min="5" max="5" width="4" customWidth="1"/>
    <col min="6" max="6" width="40.453125" customWidth="1"/>
    <col min="7" max="7" width="22" customWidth="1"/>
  </cols>
  <sheetData>
    <row r="1" spans="1:7" ht="18.5" x14ac:dyDescent="0.45">
      <c r="A1" s="18" t="s">
        <v>0</v>
      </c>
      <c r="B1" t="s">
        <v>32</v>
      </c>
    </row>
    <row r="3" spans="1:7" ht="15.5" x14ac:dyDescent="0.35">
      <c r="A3" s="3" t="s">
        <v>1</v>
      </c>
      <c r="C3" t="s">
        <v>7</v>
      </c>
      <c r="D3" t="s">
        <v>8</v>
      </c>
      <c r="F3" s="4" t="s">
        <v>2</v>
      </c>
    </row>
    <row r="4" spans="1:7" x14ac:dyDescent="0.35">
      <c r="A4" s="5" t="s">
        <v>117</v>
      </c>
      <c r="B4" s="6">
        <v>1</v>
      </c>
      <c r="C4" s="7">
        <v>5.87</v>
      </c>
      <c r="D4" s="12">
        <f>C4*39*52</f>
        <v>11904.36</v>
      </c>
      <c r="F4" s="5" t="s">
        <v>150</v>
      </c>
      <c r="G4" s="14">
        <f>39*52</f>
        <v>2028</v>
      </c>
    </row>
    <row r="5" spans="1:7" x14ac:dyDescent="0.35">
      <c r="A5" s="5" t="s">
        <v>3</v>
      </c>
      <c r="B5" s="8">
        <v>0.15129999999999999</v>
      </c>
      <c r="C5" s="9">
        <f>C4*B5</f>
        <v>0.888131</v>
      </c>
      <c r="D5" s="9">
        <f>D4*B5</f>
        <v>1801.129668</v>
      </c>
      <c r="F5" s="5" t="s">
        <v>12</v>
      </c>
      <c r="G5" s="14">
        <f>5*39</f>
        <v>195</v>
      </c>
    </row>
    <row r="6" spans="1:7" x14ac:dyDescent="0.35">
      <c r="A6" s="5" t="s">
        <v>4</v>
      </c>
      <c r="B6" s="8">
        <v>4.2999999999999997E-2</v>
      </c>
      <c r="C6" s="9">
        <f>C4*B6</f>
        <v>0.25240999999999997</v>
      </c>
      <c r="D6" s="9">
        <f>D4*B6</f>
        <v>511.88747999999998</v>
      </c>
      <c r="F6" s="5" t="s">
        <v>13</v>
      </c>
      <c r="G6" s="14">
        <f>39/5*13</f>
        <v>101.39999999999999</v>
      </c>
    </row>
    <row r="7" spans="1:7" x14ac:dyDescent="0.35">
      <c r="A7" s="5" t="s">
        <v>5</v>
      </c>
      <c r="B7" s="6">
        <v>0.03</v>
      </c>
      <c r="C7" s="9">
        <f>C4*B7</f>
        <v>0.17610000000000001</v>
      </c>
      <c r="D7" s="9">
        <f>D4*B7</f>
        <v>357.13080000000002</v>
      </c>
      <c r="F7" s="5" t="s">
        <v>33</v>
      </c>
      <c r="G7" s="14">
        <f>39*10</f>
        <v>390</v>
      </c>
    </row>
    <row r="8" spans="1:7" x14ac:dyDescent="0.35">
      <c r="A8" s="5" t="s">
        <v>146</v>
      </c>
      <c r="B8" s="6"/>
      <c r="C8" s="9"/>
      <c r="D8" s="9">
        <v>120</v>
      </c>
      <c r="F8" s="5" t="s">
        <v>134</v>
      </c>
      <c r="G8" s="14">
        <f>39*2</f>
        <v>78</v>
      </c>
    </row>
    <row r="9" spans="1:7" x14ac:dyDescent="0.35">
      <c r="A9" s="5" t="s">
        <v>16</v>
      </c>
      <c r="B9" s="8">
        <v>1.5299999999999999E-2</v>
      </c>
      <c r="C9" s="9">
        <f>C4*B9</f>
        <v>8.9811000000000002E-2</v>
      </c>
      <c r="D9" s="9">
        <f>D4*B9</f>
        <v>182.136708</v>
      </c>
      <c r="F9" s="5" t="s">
        <v>135</v>
      </c>
      <c r="G9" s="14">
        <f>39/5*2.2</f>
        <v>17.16</v>
      </c>
    </row>
    <row r="10" spans="1:7" x14ac:dyDescent="0.35">
      <c r="A10" s="5" t="s">
        <v>147</v>
      </c>
      <c r="B10" s="8">
        <f>Facharbeiterstunde!B10</f>
        <v>6.8199999999999997E-2</v>
      </c>
      <c r="C10" s="9"/>
      <c r="D10" s="9">
        <f>(D4+D5+D6+D7)*B10</f>
        <v>993.98144205359995</v>
      </c>
      <c r="F10" s="5" t="s">
        <v>145</v>
      </c>
      <c r="G10" s="14">
        <f>G4/100*2.5</f>
        <v>50.7</v>
      </c>
    </row>
    <row r="11" spans="1:7" x14ac:dyDescent="0.35">
      <c r="A11" s="10" t="s">
        <v>9</v>
      </c>
      <c r="B11" s="11"/>
      <c r="C11" s="12">
        <f>D11/12/169.5</f>
        <v>7.8026676981581122</v>
      </c>
      <c r="D11" s="13">
        <f>SUM(D4:D10)</f>
        <v>15870.626098053601</v>
      </c>
      <c r="F11" s="10" t="s">
        <v>18</v>
      </c>
      <c r="G11" s="11">
        <f>G4-(G5+G6+G7+G8++G9+G10)</f>
        <v>1195.74</v>
      </c>
    </row>
    <row r="12" spans="1:7" x14ac:dyDescent="0.35">
      <c r="A12" s="2"/>
      <c r="C12" s="1" t="s">
        <v>10</v>
      </c>
      <c r="F12" s="2"/>
    </row>
    <row r="13" spans="1:7" x14ac:dyDescent="0.35">
      <c r="A13" s="2"/>
      <c r="F13" s="2"/>
    </row>
    <row r="14" spans="1:7" x14ac:dyDescent="0.35">
      <c r="A14" s="2"/>
      <c r="F14" s="2"/>
    </row>
    <row r="15" spans="1:7" x14ac:dyDescent="0.35">
      <c r="A15" s="46" t="s">
        <v>153</v>
      </c>
      <c r="B15" s="14"/>
      <c r="C15" s="48">
        <f>D11/G11</f>
        <v>13.272639619025542</v>
      </c>
      <c r="F15" s="11" t="s">
        <v>19</v>
      </c>
      <c r="G15" s="45">
        <f>(C15*100/C4-100)/100</f>
        <v>1.2610970390162763</v>
      </c>
    </row>
    <row r="16" spans="1:7" x14ac:dyDescent="0.35">
      <c r="A16" s="5" t="s">
        <v>21</v>
      </c>
      <c r="B16" s="14">
        <f>'Lohntafel 1.5.16'!C76/8</f>
        <v>2.15</v>
      </c>
      <c r="C16" s="15">
        <f>B16</f>
        <v>2.15</v>
      </c>
    </row>
    <row r="17" spans="1:7" x14ac:dyDescent="0.35">
      <c r="A17" s="5" t="s">
        <v>22</v>
      </c>
      <c r="B17" s="8">
        <v>2.5000000000000001E-2</v>
      </c>
      <c r="C17" s="9">
        <f>C15*B17</f>
        <v>0.33181599047563859</v>
      </c>
    </row>
    <row r="18" spans="1:7" x14ac:dyDescent="0.35">
      <c r="A18" s="5" t="s">
        <v>23</v>
      </c>
      <c r="B18" s="8">
        <v>3.4000000000000002E-2</v>
      </c>
      <c r="C18" s="9">
        <f>C15*B18</f>
        <v>0.45126974704686845</v>
      </c>
      <c r="F18" s="20" t="s">
        <v>149</v>
      </c>
    </row>
    <row r="19" spans="1:7" x14ac:dyDescent="0.35">
      <c r="A19" s="5" t="s">
        <v>24</v>
      </c>
      <c r="B19" s="6">
        <v>0.02</v>
      </c>
      <c r="C19" s="9">
        <f>C15*B19</f>
        <v>0.26545279238051084</v>
      </c>
      <c r="F19" s="19" t="s">
        <v>35</v>
      </c>
      <c r="G19" s="44">
        <f>C4*169.5</f>
        <v>994.96500000000003</v>
      </c>
    </row>
    <row r="20" spans="1:7" x14ac:dyDescent="0.35">
      <c r="A20" s="5" t="s">
        <v>25</v>
      </c>
      <c r="B20" s="8">
        <v>2.3E-2</v>
      </c>
      <c r="C20" s="9">
        <f>C15*B20</f>
        <v>0.30527071123758748</v>
      </c>
      <c r="F20" s="19" t="s">
        <v>36</v>
      </c>
      <c r="G20" s="44">
        <f>8.81*169.5</f>
        <v>1493.2950000000001</v>
      </c>
    </row>
    <row r="21" spans="1:7" x14ac:dyDescent="0.35">
      <c r="A21" s="5" t="s">
        <v>26</v>
      </c>
      <c r="B21" s="6">
        <v>0.01</v>
      </c>
      <c r="C21" s="9">
        <f>C15*B21</f>
        <v>0.13272639619025542</v>
      </c>
      <c r="F21" s="19" t="s">
        <v>37</v>
      </c>
      <c r="G21" s="44">
        <f>11.74*169.5</f>
        <v>1989.93</v>
      </c>
    </row>
    <row r="22" spans="1:7" x14ac:dyDescent="0.35">
      <c r="A22" s="16" t="s">
        <v>30</v>
      </c>
      <c r="B22" s="14"/>
      <c r="C22" s="17">
        <f>SUM(C15:C21)</f>
        <v>16.909175256356399</v>
      </c>
      <c r="F22" s="19" t="s">
        <v>38</v>
      </c>
      <c r="G22" s="44">
        <f>13.21*169.5</f>
        <v>2239.0950000000003</v>
      </c>
    </row>
    <row r="23" spans="1:7" ht="32.25" customHeight="1" x14ac:dyDescent="0.35">
      <c r="A23" s="5" t="s">
        <v>151</v>
      </c>
      <c r="B23" s="6">
        <v>0.24</v>
      </c>
      <c r="C23" s="9">
        <f>C22*B23</f>
        <v>4.0582020615255354</v>
      </c>
      <c r="F23" s="19" t="s">
        <v>39</v>
      </c>
      <c r="G23" s="44">
        <f>11.74*169.5</f>
        <v>1989.93</v>
      </c>
    </row>
    <row r="24" spans="1:7" x14ac:dyDescent="0.35">
      <c r="A24" s="5" t="s">
        <v>27</v>
      </c>
      <c r="B24" s="14"/>
      <c r="C24" s="9">
        <f>C22+C23</f>
        <v>20.967377317881933</v>
      </c>
    </row>
    <row r="25" spans="1:7" x14ac:dyDescent="0.35">
      <c r="A25" s="5" t="s">
        <v>28</v>
      </c>
      <c r="B25" s="6">
        <v>0.2</v>
      </c>
      <c r="C25" s="9">
        <f>C24*B25</f>
        <v>4.1934754635763865</v>
      </c>
    </row>
    <row r="26" spans="1:7" x14ac:dyDescent="0.35">
      <c r="A26" s="38" t="s">
        <v>29</v>
      </c>
      <c r="B26" s="14"/>
      <c r="C26" s="39">
        <f>C24+C25</f>
        <v>25.16085278145832</v>
      </c>
    </row>
    <row r="27" spans="1:7" x14ac:dyDescent="0.35">
      <c r="A27" s="2"/>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6"/>
  <sheetViews>
    <sheetView workbookViewId="0">
      <selection activeCell="A16" sqref="A16"/>
    </sheetView>
  </sheetViews>
  <sheetFormatPr baseColWidth="10" defaultRowHeight="14.5" x14ac:dyDescent="0.35"/>
  <cols>
    <col min="1" max="1" width="36" customWidth="1"/>
    <col min="4" max="4" width="16.54296875" customWidth="1"/>
    <col min="5" max="5" width="2.81640625" customWidth="1"/>
    <col min="6" max="6" width="31.453125" customWidth="1"/>
    <col min="7" max="7" width="15.81640625" customWidth="1"/>
  </cols>
  <sheetData>
    <row r="1" spans="1:7" ht="18.5" x14ac:dyDescent="0.45">
      <c r="A1" s="18" t="s">
        <v>0</v>
      </c>
      <c r="B1" t="s">
        <v>32</v>
      </c>
    </row>
    <row r="3" spans="1:7" ht="15.5" x14ac:dyDescent="0.35">
      <c r="A3" s="3" t="s">
        <v>1</v>
      </c>
      <c r="C3" t="s">
        <v>7</v>
      </c>
      <c r="D3" t="s">
        <v>8</v>
      </c>
      <c r="F3" s="4" t="s">
        <v>2</v>
      </c>
    </row>
    <row r="4" spans="1:7" x14ac:dyDescent="0.35">
      <c r="A4" s="5" t="s">
        <v>118</v>
      </c>
      <c r="B4" s="6">
        <v>1</v>
      </c>
      <c r="C4" s="7">
        <v>8.81</v>
      </c>
      <c r="D4" s="7">
        <f>C4*39*52</f>
        <v>17866.68</v>
      </c>
      <c r="F4" s="5" t="s">
        <v>11</v>
      </c>
      <c r="G4" s="14">
        <f>39*52</f>
        <v>2028</v>
      </c>
    </row>
    <row r="5" spans="1:7" x14ac:dyDescent="0.35">
      <c r="A5" s="5" t="s">
        <v>3</v>
      </c>
      <c r="B5" s="8">
        <f>'Lehrling 1.LJ'!B5</f>
        <v>0.15129999999999999</v>
      </c>
      <c r="C5" s="9">
        <f>C4*B5</f>
        <v>1.3329530000000001</v>
      </c>
      <c r="D5" s="9">
        <f>D4*B5</f>
        <v>2703.2286839999997</v>
      </c>
      <c r="F5" s="5" t="s">
        <v>12</v>
      </c>
      <c r="G5" s="14">
        <f>5*39</f>
        <v>195</v>
      </c>
    </row>
    <row r="6" spans="1:7" x14ac:dyDescent="0.35">
      <c r="A6" s="5" t="s">
        <v>4</v>
      </c>
      <c r="B6" s="8">
        <f>'Lehrling 1.LJ'!B6</f>
        <v>4.2999999999999997E-2</v>
      </c>
      <c r="C6" s="9">
        <f>C4*B6</f>
        <v>0.37883</v>
      </c>
      <c r="D6" s="9">
        <f>D4*B6</f>
        <v>768.2672399999999</v>
      </c>
      <c r="F6" s="5" t="s">
        <v>13</v>
      </c>
      <c r="G6" s="14">
        <f>39/5*13</f>
        <v>101.39999999999999</v>
      </c>
    </row>
    <row r="7" spans="1:7" x14ac:dyDescent="0.35">
      <c r="A7" s="5" t="s">
        <v>5</v>
      </c>
      <c r="B7" s="6">
        <v>0.03</v>
      </c>
      <c r="C7" s="9">
        <f>C4*B7</f>
        <v>0.26429999999999998</v>
      </c>
      <c r="D7" s="9">
        <f>D4*B7</f>
        <v>536.00040000000001</v>
      </c>
      <c r="F7" s="5" t="s">
        <v>33</v>
      </c>
      <c r="G7" s="14">
        <f>39*10</f>
        <v>390</v>
      </c>
    </row>
    <row r="8" spans="1:7" x14ac:dyDescent="0.35">
      <c r="A8" s="5" t="s">
        <v>146</v>
      </c>
      <c r="B8" s="6"/>
      <c r="C8" s="9"/>
      <c r="D8" s="9">
        <v>150</v>
      </c>
      <c r="F8" s="5" t="s">
        <v>134</v>
      </c>
      <c r="G8" s="14">
        <f>39*2</f>
        <v>78</v>
      </c>
    </row>
    <row r="9" spans="1:7" x14ac:dyDescent="0.35">
      <c r="A9" s="5" t="s">
        <v>16</v>
      </c>
      <c r="B9" s="8">
        <v>1.5299999999999999E-2</v>
      </c>
      <c r="C9" s="9">
        <f>C4*B9</f>
        <v>0.134793</v>
      </c>
      <c r="D9" s="9">
        <f>D4*B9</f>
        <v>273.36020400000001</v>
      </c>
      <c r="F9" s="5" t="s">
        <v>135</v>
      </c>
      <c r="G9" s="14">
        <f>39/5*2.2</f>
        <v>17.16</v>
      </c>
    </row>
    <row r="10" spans="1:7" x14ac:dyDescent="0.35">
      <c r="A10" s="5" t="s">
        <v>20</v>
      </c>
      <c r="B10" s="8">
        <f>'Lehrling 1.LJ'!B10</f>
        <v>6.8199999999999997E-2</v>
      </c>
      <c r="C10" s="9"/>
      <c r="D10" s="9">
        <f>(D4+D5+D6+D7)*B10</f>
        <v>1491.8188252968002</v>
      </c>
      <c r="F10" s="5" t="s">
        <v>145</v>
      </c>
      <c r="G10" s="14">
        <f>G4/100*2.5</f>
        <v>50.7</v>
      </c>
    </row>
    <row r="11" spans="1:7" x14ac:dyDescent="0.35">
      <c r="A11" s="10" t="s">
        <v>9</v>
      </c>
      <c r="B11" s="11"/>
      <c r="C11" s="12">
        <f>C4+C5+C6+C7+C9</f>
        <v>10.920876000000002</v>
      </c>
      <c r="D11" s="13">
        <f>SUM(D4:D10)</f>
        <v>23789.355353296804</v>
      </c>
      <c r="F11" s="10" t="s">
        <v>18</v>
      </c>
      <c r="G11" s="11">
        <f>G4-(G5+G6+G7+G8++G9+G10)</f>
        <v>1195.74</v>
      </c>
    </row>
    <row r="12" spans="1:7" x14ac:dyDescent="0.35">
      <c r="A12" s="2"/>
      <c r="C12" s="1" t="s">
        <v>10</v>
      </c>
      <c r="F12" s="2"/>
    </row>
    <row r="13" spans="1:7" x14ac:dyDescent="0.35">
      <c r="A13" s="2"/>
      <c r="F13" s="2"/>
    </row>
    <row r="14" spans="1:7" x14ac:dyDescent="0.35">
      <c r="A14" s="2"/>
      <c r="F14" s="2"/>
    </row>
    <row r="15" spans="1:7" x14ac:dyDescent="0.35">
      <c r="A15" s="46" t="s">
        <v>152</v>
      </c>
      <c r="B15" s="14"/>
      <c r="C15" s="47">
        <f>D11/G11</f>
        <v>19.8950903652105</v>
      </c>
      <c r="F15" s="11" t="s">
        <v>19</v>
      </c>
      <c r="G15" s="42">
        <f>(C15*100/C4-100)/100</f>
        <v>1.258239542021623</v>
      </c>
    </row>
    <row r="16" spans="1:7" x14ac:dyDescent="0.35">
      <c r="A16" s="5" t="s">
        <v>21</v>
      </c>
      <c r="B16" s="14">
        <f>'Lohntafel 1.5.16'!C76/8</f>
        <v>2.15</v>
      </c>
      <c r="C16" s="15">
        <f>B16</f>
        <v>2.15</v>
      </c>
    </row>
    <row r="17" spans="1:7" x14ac:dyDescent="0.35">
      <c r="A17" s="5" t="s">
        <v>22</v>
      </c>
      <c r="B17" s="8">
        <v>2.5000000000000001E-2</v>
      </c>
      <c r="C17" s="9">
        <f>C15*B17</f>
        <v>0.49737725913026254</v>
      </c>
    </row>
    <row r="18" spans="1:7" x14ac:dyDescent="0.35">
      <c r="A18" s="5" t="s">
        <v>23</v>
      </c>
      <c r="B18" s="8">
        <v>3.4000000000000002E-2</v>
      </c>
      <c r="C18" s="9">
        <f>C15*B18</f>
        <v>0.676433072417157</v>
      </c>
      <c r="F18" t="s">
        <v>34</v>
      </c>
    </row>
    <row r="19" spans="1:7" x14ac:dyDescent="0.35">
      <c r="A19" s="5" t="s">
        <v>24</v>
      </c>
      <c r="B19" s="6">
        <v>0.02</v>
      </c>
      <c r="C19" s="9">
        <f>C15*B19</f>
        <v>0.39790180730420999</v>
      </c>
      <c r="F19" s="19" t="s">
        <v>35</v>
      </c>
      <c r="G19" s="44">
        <f>5.87*169.5</f>
        <v>994.96500000000003</v>
      </c>
    </row>
    <row r="20" spans="1:7" x14ac:dyDescent="0.35">
      <c r="A20" s="5" t="s">
        <v>25</v>
      </c>
      <c r="B20" s="8">
        <v>2.3E-2</v>
      </c>
      <c r="C20" s="9">
        <f>C15*B20</f>
        <v>0.45758707839984147</v>
      </c>
      <c r="F20" s="19" t="s">
        <v>36</v>
      </c>
      <c r="G20" s="40">
        <f>C4*169.5</f>
        <v>1493.2950000000001</v>
      </c>
    </row>
    <row r="21" spans="1:7" x14ac:dyDescent="0.35">
      <c r="A21" s="5" t="s">
        <v>26</v>
      </c>
      <c r="B21" s="6">
        <v>0.01</v>
      </c>
      <c r="C21" s="9">
        <f>C15*B21</f>
        <v>0.19895090365210499</v>
      </c>
      <c r="F21" s="19" t="s">
        <v>37</v>
      </c>
      <c r="G21" s="44">
        <f>11.74*169.5</f>
        <v>1989.93</v>
      </c>
    </row>
    <row r="22" spans="1:7" x14ac:dyDescent="0.35">
      <c r="A22" s="16" t="s">
        <v>30</v>
      </c>
      <c r="B22" s="14"/>
      <c r="C22" s="17">
        <f>SUM(C15:C21)</f>
        <v>24.273340486114073</v>
      </c>
      <c r="F22" s="19" t="s">
        <v>38</v>
      </c>
      <c r="G22" s="44">
        <f>13.21*169.5</f>
        <v>2239.0950000000003</v>
      </c>
    </row>
    <row r="23" spans="1:7" ht="43.5" x14ac:dyDescent="0.35">
      <c r="A23" s="5" t="s">
        <v>151</v>
      </c>
      <c r="B23" s="6">
        <v>0.24</v>
      </c>
      <c r="C23" s="9">
        <f>C22*B23</f>
        <v>5.8256017166673768</v>
      </c>
      <c r="F23" s="19" t="s">
        <v>39</v>
      </c>
      <c r="G23" s="44">
        <f>11.74*169.5</f>
        <v>1989.93</v>
      </c>
    </row>
    <row r="24" spans="1:7" x14ac:dyDescent="0.35">
      <c r="A24" s="5" t="s">
        <v>27</v>
      </c>
      <c r="B24" s="14"/>
      <c r="C24" s="9">
        <f>C22+C23</f>
        <v>30.098942202781451</v>
      </c>
    </row>
    <row r="25" spans="1:7" x14ac:dyDescent="0.35">
      <c r="A25" s="5" t="s">
        <v>28</v>
      </c>
      <c r="B25" s="6">
        <v>0.2</v>
      </c>
      <c r="C25" s="9">
        <f>C24*B25</f>
        <v>6.0197884405562903</v>
      </c>
    </row>
    <row r="26" spans="1:7" x14ac:dyDescent="0.35">
      <c r="A26" s="38" t="s">
        <v>29</v>
      </c>
      <c r="B26" s="14"/>
      <c r="C26" s="39">
        <f>C24+C25</f>
        <v>36.118730643337742</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6"/>
  <sheetViews>
    <sheetView workbookViewId="0">
      <selection activeCell="A16" sqref="A16"/>
    </sheetView>
  </sheetViews>
  <sheetFormatPr baseColWidth="10" defaultRowHeight="14.5" x14ac:dyDescent="0.35"/>
  <cols>
    <col min="1" max="1" width="33.26953125" customWidth="1"/>
    <col min="4" max="4" width="16.453125" customWidth="1"/>
    <col min="5" max="5" width="6.453125" customWidth="1"/>
    <col min="6" max="6" width="34.1796875" customWidth="1"/>
  </cols>
  <sheetData>
    <row r="1" spans="1:7" ht="18.5" x14ac:dyDescent="0.45">
      <c r="A1" s="18" t="s">
        <v>0</v>
      </c>
      <c r="B1" t="s">
        <v>32</v>
      </c>
    </row>
    <row r="3" spans="1:7" ht="15.5" x14ac:dyDescent="0.35">
      <c r="A3" s="3" t="s">
        <v>1</v>
      </c>
      <c r="C3" t="s">
        <v>7</v>
      </c>
      <c r="D3" t="s">
        <v>8</v>
      </c>
      <c r="F3" s="4" t="s">
        <v>2</v>
      </c>
    </row>
    <row r="4" spans="1:7" x14ac:dyDescent="0.35">
      <c r="A4" s="5" t="s">
        <v>118</v>
      </c>
      <c r="B4" s="6">
        <v>1</v>
      </c>
      <c r="C4" s="7">
        <v>11.74</v>
      </c>
      <c r="D4" s="7">
        <f>C4*39*52</f>
        <v>23808.720000000001</v>
      </c>
      <c r="F4" s="5" t="s">
        <v>11</v>
      </c>
      <c r="G4" s="14">
        <f>39*52</f>
        <v>2028</v>
      </c>
    </row>
    <row r="5" spans="1:7" x14ac:dyDescent="0.35">
      <c r="A5" s="5" t="s">
        <v>3</v>
      </c>
      <c r="B5" s="8">
        <f>'Lehrling 1.LJ'!B5</f>
        <v>0.15129999999999999</v>
      </c>
      <c r="C5" s="9">
        <f>C4*B5</f>
        <v>1.776262</v>
      </c>
      <c r="D5" s="9">
        <f>D4*B5</f>
        <v>3602.2593360000001</v>
      </c>
      <c r="F5" s="5" t="s">
        <v>12</v>
      </c>
      <c r="G5" s="14">
        <f>5*39</f>
        <v>195</v>
      </c>
    </row>
    <row r="6" spans="1:7" x14ac:dyDescent="0.35">
      <c r="A6" s="5" t="s">
        <v>4</v>
      </c>
      <c r="B6" s="8">
        <f>'Lehrling 1.LJ'!B6</f>
        <v>4.2999999999999997E-2</v>
      </c>
      <c r="C6" s="9">
        <f>C4*B6</f>
        <v>0.50481999999999994</v>
      </c>
      <c r="D6" s="9">
        <f>D4*B6</f>
        <v>1023.77496</v>
      </c>
      <c r="F6" s="5" t="s">
        <v>13</v>
      </c>
      <c r="G6" s="14">
        <f>39/5*13</f>
        <v>101.39999999999999</v>
      </c>
    </row>
    <row r="7" spans="1:7" x14ac:dyDescent="0.35">
      <c r="A7" s="5" t="s">
        <v>5</v>
      </c>
      <c r="B7" s="6">
        <v>0.03</v>
      </c>
      <c r="C7" s="9">
        <f>C4*B7</f>
        <v>0.35220000000000001</v>
      </c>
      <c r="D7" s="9">
        <f>D4*B7</f>
        <v>714.26160000000004</v>
      </c>
      <c r="F7" s="5" t="s">
        <v>33</v>
      </c>
      <c r="G7" s="14">
        <f>39*10</f>
        <v>390</v>
      </c>
    </row>
    <row r="8" spans="1:7" x14ac:dyDescent="0.35">
      <c r="A8" s="5" t="s">
        <v>146</v>
      </c>
      <c r="B8" s="6"/>
      <c r="C8" s="9"/>
      <c r="D8" s="9">
        <v>150</v>
      </c>
      <c r="F8" s="5" t="s">
        <v>134</v>
      </c>
      <c r="G8" s="14">
        <f>39*2</f>
        <v>78</v>
      </c>
    </row>
    <row r="9" spans="1:7" x14ac:dyDescent="0.35">
      <c r="A9" s="5" t="s">
        <v>16</v>
      </c>
      <c r="B9" s="8">
        <v>1.5299999999999999E-2</v>
      </c>
      <c r="C9" s="9">
        <f>C4*B9</f>
        <v>0.179622</v>
      </c>
      <c r="D9" s="9">
        <f>D4*B9</f>
        <v>364.273416</v>
      </c>
      <c r="F9" s="5" t="s">
        <v>135</v>
      </c>
      <c r="G9" s="14">
        <f>39/5*2.2</f>
        <v>17.16</v>
      </c>
    </row>
    <row r="10" spans="1:7" x14ac:dyDescent="0.35">
      <c r="A10" s="5" t="s">
        <v>20</v>
      </c>
      <c r="B10" s="8">
        <f>'Lehrling 1.LJ'!B10</f>
        <v>6.8199999999999997E-2</v>
      </c>
      <c r="C10" s="9"/>
      <c r="D10" s="9">
        <f>(D4+D5+D6+D7)*B10</f>
        <v>1987.9628841071999</v>
      </c>
      <c r="F10" s="5" t="s">
        <v>145</v>
      </c>
      <c r="G10" s="14">
        <f>G4/100*2.5</f>
        <v>50.7</v>
      </c>
    </row>
    <row r="11" spans="1:7" x14ac:dyDescent="0.35">
      <c r="A11" s="10" t="s">
        <v>9</v>
      </c>
      <c r="B11" s="11"/>
      <c r="C11" s="12">
        <f>C4+C5+C6+C7+C9</f>
        <v>14.552904000000002</v>
      </c>
      <c r="D11" s="13">
        <f>SUM(D4:D10)</f>
        <v>31651.252196107202</v>
      </c>
      <c r="F11" s="10" t="s">
        <v>18</v>
      </c>
      <c r="G11" s="11">
        <f>G4-(G5+G6+G7+G8++G9+G10)</f>
        <v>1195.74</v>
      </c>
    </row>
    <row r="12" spans="1:7" x14ac:dyDescent="0.35">
      <c r="A12" s="2"/>
      <c r="C12" s="1" t="s">
        <v>10</v>
      </c>
      <c r="F12" s="2"/>
    </row>
    <row r="13" spans="1:7" x14ac:dyDescent="0.35">
      <c r="A13" s="2"/>
      <c r="F13" s="2"/>
    </row>
    <row r="14" spans="1:7" x14ac:dyDescent="0.35">
      <c r="A14" s="2"/>
      <c r="F14" s="2"/>
    </row>
    <row r="15" spans="1:7" x14ac:dyDescent="0.35">
      <c r="A15" s="46" t="s">
        <v>153</v>
      </c>
      <c r="B15" s="14"/>
      <c r="C15" s="47">
        <f>D11/G11</f>
        <v>26.470012039496211</v>
      </c>
      <c r="F15" s="11" t="s">
        <v>19</v>
      </c>
      <c r="G15" s="42">
        <f>(C15*100/C4-100)/100</f>
        <v>1.2546858636708869</v>
      </c>
    </row>
    <row r="16" spans="1:7" x14ac:dyDescent="0.35">
      <c r="A16" s="5" t="s">
        <v>21</v>
      </c>
      <c r="B16" s="14">
        <f>'Lohntafel 1.5.16'!C76/8</f>
        <v>2.15</v>
      </c>
      <c r="C16" s="15">
        <f>B16</f>
        <v>2.15</v>
      </c>
    </row>
    <row r="17" spans="1:7" x14ac:dyDescent="0.35">
      <c r="A17" s="5" t="s">
        <v>22</v>
      </c>
      <c r="B17" s="8">
        <v>2.5000000000000001E-2</v>
      </c>
      <c r="C17" s="9">
        <f>C15*B17</f>
        <v>0.66175030098740528</v>
      </c>
    </row>
    <row r="18" spans="1:7" x14ac:dyDescent="0.35">
      <c r="A18" s="5" t="s">
        <v>23</v>
      </c>
      <c r="B18" s="8">
        <v>3.4000000000000002E-2</v>
      </c>
      <c r="C18" s="9">
        <f>C15*B18</f>
        <v>0.89998040934287127</v>
      </c>
      <c r="F18" t="s">
        <v>148</v>
      </c>
    </row>
    <row r="19" spans="1:7" x14ac:dyDescent="0.35">
      <c r="A19" s="5" t="s">
        <v>24</v>
      </c>
      <c r="B19" s="6">
        <v>0.02</v>
      </c>
      <c r="C19" s="9">
        <f>C15*B19</f>
        <v>0.5294002407899242</v>
      </c>
      <c r="F19" s="19" t="s">
        <v>35</v>
      </c>
      <c r="G19" s="44">
        <f>5.87*169.5</f>
        <v>994.96500000000003</v>
      </c>
    </row>
    <row r="20" spans="1:7" x14ac:dyDescent="0.35">
      <c r="A20" s="5" t="s">
        <v>25</v>
      </c>
      <c r="B20" s="8">
        <v>2.3E-2</v>
      </c>
      <c r="C20" s="9">
        <f>C15*B20</f>
        <v>0.60881027690841283</v>
      </c>
      <c r="F20" s="19" t="s">
        <v>36</v>
      </c>
      <c r="G20" s="43">
        <f>'Lohntafel 1.5.16'!C66*169.5</f>
        <v>1493.2950000000001</v>
      </c>
    </row>
    <row r="21" spans="1:7" x14ac:dyDescent="0.35">
      <c r="A21" s="5" t="s">
        <v>26</v>
      </c>
      <c r="B21" s="6">
        <v>0.01</v>
      </c>
      <c r="C21" s="9">
        <f>C15*B21</f>
        <v>0.2647001203949621</v>
      </c>
      <c r="F21" s="19" t="s">
        <v>37</v>
      </c>
      <c r="G21" s="40">
        <f>11.74*169.5</f>
        <v>1989.93</v>
      </c>
    </row>
    <row r="22" spans="1:7" x14ac:dyDescent="0.35">
      <c r="A22" s="16" t="s">
        <v>30</v>
      </c>
      <c r="B22" s="14"/>
      <c r="C22" s="17">
        <f>SUM(C15:C21)</f>
        <v>31.58465338791979</v>
      </c>
      <c r="F22" s="19" t="s">
        <v>38</v>
      </c>
      <c r="G22" s="44">
        <f>13.21*169.5</f>
        <v>2239.0950000000003</v>
      </c>
    </row>
    <row r="23" spans="1:7" ht="45" customHeight="1" x14ac:dyDescent="0.35">
      <c r="A23" s="5" t="s">
        <v>151</v>
      </c>
      <c r="B23" s="6">
        <v>0.24</v>
      </c>
      <c r="C23" s="9">
        <f>C22*B23</f>
        <v>7.5803168131007492</v>
      </c>
      <c r="F23" s="19" t="s">
        <v>39</v>
      </c>
      <c r="G23" s="44">
        <f>11.74*169.5</f>
        <v>1989.93</v>
      </c>
    </row>
    <row r="24" spans="1:7" x14ac:dyDescent="0.35">
      <c r="A24" s="5" t="s">
        <v>27</v>
      </c>
      <c r="B24" s="14"/>
      <c r="C24" s="9">
        <f>C22+C23</f>
        <v>39.164970201020537</v>
      </c>
    </row>
    <row r="25" spans="1:7" x14ac:dyDescent="0.35">
      <c r="A25" s="5" t="s">
        <v>28</v>
      </c>
      <c r="B25" s="6">
        <v>0.2</v>
      </c>
      <c r="C25" s="9">
        <f>C24*B25</f>
        <v>7.8329940402041078</v>
      </c>
    </row>
    <row r="26" spans="1:7" x14ac:dyDescent="0.35">
      <c r="A26" s="38" t="s">
        <v>29</v>
      </c>
      <c r="B26" s="14"/>
      <c r="C26" s="39">
        <f>C24+C25</f>
        <v>46.997964241224643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8"/>
  <sheetViews>
    <sheetView topLeftCell="A55" workbookViewId="0">
      <selection activeCell="C76" sqref="C76"/>
    </sheetView>
  </sheetViews>
  <sheetFormatPr baseColWidth="10" defaultRowHeight="14.5" x14ac:dyDescent="0.35"/>
  <cols>
    <col min="1" max="1" width="11.453125" customWidth="1"/>
    <col min="2" max="2" width="60.81640625" customWidth="1"/>
    <col min="3" max="3" width="23.54296875" customWidth="1"/>
  </cols>
  <sheetData>
    <row r="1" spans="1:3" ht="18.5" x14ac:dyDescent="0.45">
      <c r="A1" s="18" t="s">
        <v>40</v>
      </c>
      <c r="B1" s="18"/>
      <c r="C1" s="18"/>
    </row>
    <row r="2" spans="1:3" ht="18.5" x14ac:dyDescent="0.45">
      <c r="A2" s="52" t="s">
        <v>41</v>
      </c>
      <c r="B2" s="53"/>
      <c r="C2" s="21" t="s">
        <v>139</v>
      </c>
    </row>
    <row r="3" spans="1:3" ht="18.5" x14ac:dyDescent="0.45">
      <c r="A3" s="54"/>
      <c r="B3" s="55"/>
      <c r="C3" s="22" t="s">
        <v>42</v>
      </c>
    </row>
    <row r="4" spans="1:3" ht="18.5" x14ac:dyDescent="0.45">
      <c r="A4" s="56"/>
      <c r="B4" s="57"/>
      <c r="C4" s="23" t="s">
        <v>43</v>
      </c>
    </row>
    <row r="5" spans="1:3" ht="15" customHeight="1" x14ac:dyDescent="0.35">
      <c r="A5" s="58" t="s">
        <v>44</v>
      </c>
      <c r="B5" s="59"/>
      <c r="C5" s="60">
        <v>16.57</v>
      </c>
    </row>
    <row r="6" spans="1:3" ht="15" customHeight="1" x14ac:dyDescent="0.35">
      <c r="A6" s="49" t="s">
        <v>45</v>
      </c>
      <c r="B6" s="51"/>
      <c r="C6" s="61"/>
    </row>
    <row r="7" spans="1:3" ht="15" customHeight="1" x14ac:dyDescent="0.35">
      <c r="A7" s="58" t="s">
        <v>46</v>
      </c>
      <c r="B7" s="62"/>
      <c r="C7" s="59"/>
    </row>
    <row r="8" spans="1:3" ht="30" customHeight="1" x14ac:dyDescent="0.35">
      <c r="A8" s="49" t="s">
        <v>47</v>
      </c>
      <c r="B8" s="50"/>
      <c r="C8" s="51"/>
    </row>
    <row r="9" spans="1:3" ht="18.5" x14ac:dyDescent="0.45">
      <c r="A9" s="24" t="s">
        <v>48</v>
      </c>
      <c r="B9" s="25" t="s">
        <v>49</v>
      </c>
      <c r="C9" s="26">
        <v>16.12</v>
      </c>
    </row>
    <row r="10" spans="1:3" ht="18.5" x14ac:dyDescent="0.45">
      <c r="A10" s="24" t="s">
        <v>50</v>
      </c>
      <c r="B10" s="25" t="s">
        <v>51</v>
      </c>
      <c r="C10" s="26">
        <v>14.68</v>
      </c>
    </row>
    <row r="11" spans="1:3" ht="15" customHeight="1" x14ac:dyDescent="0.35">
      <c r="A11" s="58" t="s">
        <v>52</v>
      </c>
      <c r="B11" s="62"/>
      <c r="C11" s="59"/>
    </row>
    <row r="12" spans="1:3" ht="15" customHeight="1" x14ac:dyDescent="0.35">
      <c r="A12" s="49" t="s">
        <v>53</v>
      </c>
      <c r="B12" s="50"/>
      <c r="C12" s="51"/>
    </row>
    <row r="13" spans="1:3" ht="18.5" x14ac:dyDescent="0.35">
      <c r="A13" s="63" t="s">
        <v>48</v>
      </c>
      <c r="B13" s="27" t="s">
        <v>54</v>
      </c>
      <c r="C13" s="60">
        <v>14.67</v>
      </c>
    </row>
    <row r="14" spans="1:3" ht="18.5" x14ac:dyDescent="0.35">
      <c r="A14" s="64"/>
      <c r="B14" s="28" t="s">
        <v>55</v>
      </c>
      <c r="C14" s="66"/>
    </row>
    <row r="15" spans="1:3" ht="18.5" x14ac:dyDescent="0.35">
      <c r="A15" s="64"/>
      <c r="B15" s="28" t="s">
        <v>56</v>
      </c>
      <c r="C15" s="66"/>
    </row>
    <row r="16" spans="1:3" ht="18.5" x14ac:dyDescent="0.35">
      <c r="A16" s="64"/>
      <c r="B16" s="28" t="s">
        <v>57</v>
      </c>
      <c r="C16" s="66"/>
    </row>
    <row r="17" spans="1:3" ht="18.5" x14ac:dyDescent="0.35">
      <c r="A17" s="64"/>
      <c r="B17" s="28" t="s">
        <v>58</v>
      </c>
      <c r="C17" s="66"/>
    </row>
    <row r="18" spans="1:3" ht="37" x14ac:dyDescent="0.35">
      <c r="A18" s="64"/>
      <c r="B18" s="28" t="s">
        <v>59</v>
      </c>
      <c r="C18" s="66"/>
    </row>
    <row r="19" spans="1:3" ht="55.5" x14ac:dyDescent="0.35">
      <c r="A19" s="64"/>
      <c r="B19" s="28" t="s">
        <v>60</v>
      </c>
      <c r="C19" s="66"/>
    </row>
    <row r="20" spans="1:3" ht="37" x14ac:dyDescent="0.35">
      <c r="A20" s="64"/>
      <c r="B20" s="28" t="s">
        <v>61</v>
      </c>
      <c r="C20" s="66"/>
    </row>
    <row r="21" spans="1:3" ht="18.5" x14ac:dyDescent="0.35">
      <c r="A21" s="64"/>
      <c r="B21" s="28" t="s">
        <v>62</v>
      </c>
      <c r="C21" s="66"/>
    </row>
    <row r="22" spans="1:3" ht="37" x14ac:dyDescent="0.35">
      <c r="A22" s="64"/>
      <c r="B22" s="28" t="s">
        <v>63</v>
      </c>
      <c r="C22" s="66"/>
    </row>
    <row r="23" spans="1:3" ht="55.5" x14ac:dyDescent="0.35">
      <c r="A23" s="64"/>
      <c r="B23" s="28" t="s">
        <v>64</v>
      </c>
      <c r="C23" s="66"/>
    </row>
    <row r="24" spans="1:3" ht="18.5" x14ac:dyDescent="0.35">
      <c r="A24" s="64"/>
      <c r="B24" s="28" t="s">
        <v>65</v>
      </c>
      <c r="C24" s="66"/>
    </row>
    <row r="25" spans="1:3" ht="18.5" x14ac:dyDescent="0.35">
      <c r="A25" s="64"/>
      <c r="B25" s="28" t="s">
        <v>66</v>
      </c>
      <c r="C25" s="66"/>
    </row>
    <row r="26" spans="1:3" ht="37" x14ac:dyDescent="0.35">
      <c r="A26" s="65"/>
      <c r="B26" s="29" t="s">
        <v>67</v>
      </c>
      <c r="C26" s="61"/>
    </row>
    <row r="27" spans="1:3" ht="37" x14ac:dyDescent="0.35">
      <c r="A27" s="63" t="s">
        <v>50</v>
      </c>
      <c r="B27" s="27" t="s">
        <v>68</v>
      </c>
      <c r="C27" s="60">
        <v>14.33</v>
      </c>
    </row>
    <row r="28" spans="1:3" ht="37" x14ac:dyDescent="0.35">
      <c r="A28" s="64"/>
      <c r="B28" s="28" t="s">
        <v>69</v>
      </c>
      <c r="C28" s="66"/>
    </row>
    <row r="29" spans="1:3" ht="37" x14ac:dyDescent="0.35">
      <c r="A29" s="64"/>
      <c r="B29" s="28" t="s">
        <v>70</v>
      </c>
      <c r="C29" s="66"/>
    </row>
    <row r="30" spans="1:3" ht="37" x14ac:dyDescent="0.35">
      <c r="A30" s="64"/>
      <c r="B30" s="28" t="s">
        <v>71</v>
      </c>
      <c r="C30" s="66"/>
    </row>
    <row r="31" spans="1:3" ht="18.5" x14ac:dyDescent="0.35">
      <c r="A31" s="64"/>
      <c r="B31" s="28" t="s">
        <v>72</v>
      </c>
      <c r="C31" s="66"/>
    </row>
    <row r="32" spans="1:3" ht="18.5" x14ac:dyDescent="0.35">
      <c r="A32" s="64"/>
      <c r="B32" s="28" t="s">
        <v>73</v>
      </c>
      <c r="C32" s="66"/>
    </row>
    <row r="33" spans="1:3" ht="18.5" x14ac:dyDescent="0.35">
      <c r="A33" s="64"/>
      <c r="B33" s="28" t="s">
        <v>74</v>
      </c>
      <c r="C33" s="66"/>
    </row>
    <row r="34" spans="1:3" ht="18.5" x14ac:dyDescent="0.35">
      <c r="A34" s="64"/>
      <c r="B34" s="28" t="s">
        <v>75</v>
      </c>
      <c r="C34" s="66"/>
    </row>
    <row r="35" spans="1:3" ht="18.5" x14ac:dyDescent="0.35">
      <c r="A35" s="65"/>
      <c r="B35" s="29" t="s">
        <v>76</v>
      </c>
      <c r="C35" s="61"/>
    </row>
    <row r="36" spans="1:3" ht="18.5" x14ac:dyDescent="0.35">
      <c r="A36" s="63" t="s">
        <v>77</v>
      </c>
      <c r="B36" s="27" t="s">
        <v>78</v>
      </c>
      <c r="C36" s="60">
        <v>11.74</v>
      </c>
    </row>
    <row r="37" spans="1:3" ht="18.5" x14ac:dyDescent="0.35">
      <c r="A37" s="64"/>
      <c r="B37" s="28" t="s">
        <v>79</v>
      </c>
      <c r="C37" s="66"/>
    </row>
    <row r="38" spans="1:3" ht="18.5" x14ac:dyDescent="0.35">
      <c r="A38" s="64"/>
      <c r="B38" s="28" t="s">
        <v>80</v>
      </c>
      <c r="C38" s="66"/>
    </row>
    <row r="39" spans="1:3" ht="18.5" x14ac:dyDescent="0.35">
      <c r="A39" s="65"/>
      <c r="B39" s="29" t="s">
        <v>81</v>
      </c>
      <c r="C39" s="61"/>
    </row>
    <row r="40" spans="1:3" ht="18.5" x14ac:dyDescent="0.35">
      <c r="A40" s="63" t="s">
        <v>82</v>
      </c>
      <c r="B40" s="27" t="s">
        <v>83</v>
      </c>
      <c r="C40" s="60">
        <v>13.21</v>
      </c>
    </row>
    <row r="41" spans="1:3" ht="55.5" x14ac:dyDescent="0.35">
      <c r="A41" s="64"/>
      <c r="B41" s="28" t="s">
        <v>84</v>
      </c>
      <c r="C41" s="66"/>
    </row>
    <row r="42" spans="1:3" ht="18.5" x14ac:dyDescent="0.35">
      <c r="A42" s="64"/>
      <c r="B42" s="28" t="s">
        <v>85</v>
      </c>
      <c r="C42" s="66"/>
    </row>
    <row r="43" spans="1:3" ht="18.5" x14ac:dyDescent="0.35">
      <c r="A43" s="64"/>
      <c r="B43" s="28" t="s">
        <v>86</v>
      </c>
      <c r="C43" s="66"/>
    </row>
    <row r="44" spans="1:3" ht="55.5" x14ac:dyDescent="0.35">
      <c r="A44" s="64"/>
      <c r="B44" s="28" t="s">
        <v>87</v>
      </c>
      <c r="C44" s="66"/>
    </row>
    <row r="45" spans="1:3" ht="18.5" x14ac:dyDescent="0.35">
      <c r="A45" s="64"/>
      <c r="B45" s="28" t="s">
        <v>88</v>
      </c>
      <c r="C45" s="66"/>
    </row>
    <row r="46" spans="1:3" ht="18.5" x14ac:dyDescent="0.35">
      <c r="A46" s="64"/>
      <c r="B46" s="28" t="s">
        <v>89</v>
      </c>
      <c r="C46" s="66"/>
    </row>
    <row r="47" spans="1:3" ht="18.5" x14ac:dyDescent="0.35">
      <c r="A47" s="64"/>
      <c r="B47" s="28" t="s">
        <v>90</v>
      </c>
      <c r="C47" s="66"/>
    </row>
    <row r="48" spans="1:3" ht="18.5" x14ac:dyDescent="0.35">
      <c r="A48" s="64"/>
      <c r="B48" s="28" t="s">
        <v>91</v>
      </c>
      <c r="C48" s="66"/>
    </row>
    <row r="49" spans="1:3" ht="74" x14ac:dyDescent="0.35">
      <c r="A49" s="64"/>
      <c r="B49" s="28" t="s">
        <v>92</v>
      </c>
      <c r="C49" s="66"/>
    </row>
    <row r="50" spans="1:3" ht="18.5" x14ac:dyDescent="0.35">
      <c r="A50" s="64"/>
      <c r="B50" s="28" t="s">
        <v>93</v>
      </c>
      <c r="C50" s="66"/>
    </row>
    <row r="51" spans="1:3" ht="18.5" x14ac:dyDescent="0.35">
      <c r="A51" s="65"/>
      <c r="B51" s="29" t="s">
        <v>94</v>
      </c>
      <c r="C51" s="61"/>
    </row>
    <row r="52" spans="1:3" ht="18.5" x14ac:dyDescent="0.35">
      <c r="A52" s="63" t="s">
        <v>95</v>
      </c>
      <c r="B52" s="27" t="s">
        <v>96</v>
      </c>
      <c r="C52" s="60">
        <v>11.74</v>
      </c>
    </row>
    <row r="53" spans="1:3" ht="18.5" x14ac:dyDescent="0.35">
      <c r="A53" s="64"/>
      <c r="B53" s="28" t="s">
        <v>97</v>
      </c>
      <c r="C53" s="66"/>
    </row>
    <row r="54" spans="1:3" ht="18.5" x14ac:dyDescent="0.35">
      <c r="A54" s="64"/>
      <c r="B54" s="28" t="s">
        <v>98</v>
      </c>
      <c r="C54" s="66"/>
    </row>
    <row r="55" spans="1:3" ht="18.5" x14ac:dyDescent="0.35">
      <c r="A55" s="64"/>
      <c r="B55" s="28" t="s">
        <v>99</v>
      </c>
      <c r="C55" s="66"/>
    </row>
    <row r="56" spans="1:3" ht="18.5" x14ac:dyDescent="0.35">
      <c r="A56" s="65"/>
      <c r="B56" s="29" t="s">
        <v>100</v>
      </c>
      <c r="C56" s="61"/>
    </row>
    <row r="57" spans="1:3" ht="15" customHeight="1" x14ac:dyDescent="0.45">
      <c r="A57" s="70" t="s">
        <v>101</v>
      </c>
      <c r="B57" s="71"/>
      <c r="C57" s="26">
        <v>12.5</v>
      </c>
    </row>
    <row r="58" spans="1:3" ht="15" customHeight="1" x14ac:dyDescent="0.35">
      <c r="A58" s="72" t="s">
        <v>102</v>
      </c>
      <c r="B58" s="73"/>
      <c r="C58" s="74"/>
    </row>
    <row r="59" spans="1:3" ht="18.5" x14ac:dyDescent="0.35">
      <c r="A59" s="75"/>
      <c r="B59" s="27" t="s">
        <v>103</v>
      </c>
      <c r="C59" s="60">
        <v>11.46</v>
      </c>
    </row>
    <row r="60" spans="1:3" ht="18.5" x14ac:dyDescent="0.35">
      <c r="A60" s="76"/>
      <c r="B60" s="28" t="s">
        <v>104</v>
      </c>
      <c r="C60" s="66"/>
    </row>
    <row r="61" spans="1:3" ht="18.5" x14ac:dyDescent="0.35">
      <c r="A61" s="76"/>
      <c r="B61" s="28" t="s">
        <v>105</v>
      </c>
      <c r="C61" s="66"/>
    </row>
    <row r="62" spans="1:3" ht="18.5" x14ac:dyDescent="0.35">
      <c r="A62" s="76"/>
      <c r="B62" s="28" t="s">
        <v>106</v>
      </c>
      <c r="C62" s="66"/>
    </row>
    <row r="63" spans="1:3" ht="18.5" x14ac:dyDescent="0.35">
      <c r="A63" s="77"/>
      <c r="B63" s="29" t="s">
        <v>107</v>
      </c>
      <c r="C63" s="61"/>
    </row>
    <row r="64" spans="1:3" ht="15" customHeight="1" x14ac:dyDescent="0.35">
      <c r="A64" s="72" t="s">
        <v>108</v>
      </c>
      <c r="B64" s="73"/>
      <c r="C64" s="74"/>
    </row>
    <row r="65" spans="1:3" ht="37" x14ac:dyDescent="0.45">
      <c r="A65" s="30" t="s">
        <v>48</v>
      </c>
      <c r="B65" s="25" t="s">
        <v>109</v>
      </c>
      <c r="C65" s="26">
        <v>5.87</v>
      </c>
    </row>
    <row r="66" spans="1:3" ht="37" x14ac:dyDescent="0.45">
      <c r="A66" s="30" t="s">
        <v>50</v>
      </c>
      <c r="B66" s="25" t="s">
        <v>110</v>
      </c>
      <c r="C66" s="26">
        <v>8.81</v>
      </c>
    </row>
    <row r="67" spans="1:3" ht="37" x14ac:dyDescent="0.45">
      <c r="A67" s="30" t="s">
        <v>77</v>
      </c>
      <c r="B67" s="25" t="s">
        <v>111</v>
      </c>
      <c r="C67" s="26">
        <v>11.74</v>
      </c>
    </row>
    <row r="68" spans="1:3" ht="55.5" x14ac:dyDescent="0.45">
      <c r="A68" s="30" t="s">
        <v>82</v>
      </c>
      <c r="B68" s="25" t="s">
        <v>112</v>
      </c>
      <c r="C68" s="26">
        <v>13.21</v>
      </c>
    </row>
    <row r="69" spans="1:3" ht="55.5" x14ac:dyDescent="0.45">
      <c r="A69" s="30" t="s">
        <v>95</v>
      </c>
      <c r="B69" s="25" t="s">
        <v>113</v>
      </c>
      <c r="C69" s="26">
        <v>11.74</v>
      </c>
    </row>
    <row r="70" spans="1:3" ht="15" customHeight="1" x14ac:dyDescent="0.35">
      <c r="A70" s="67" t="s">
        <v>114</v>
      </c>
      <c r="B70" s="68"/>
      <c r="C70" s="69"/>
    </row>
    <row r="71" spans="1:3" ht="111" x14ac:dyDescent="0.45">
      <c r="A71" s="30" t="s">
        <v>48</v>
      </c>
      <c r="B71" s="31" t="s">
        <v>115</v>
      </c>
      <c r="C71" s="26">
        <v>4.4000000000000004</v>
      </c>
    </row>
    <row r="72" spans="1:3" ht="74" x14ac:dyDescent="0.45">
      <c r="A72" s="30" t="s">
        <v>50</v>
      </c>
      <c r="B72" s="31" t="s">
        <v>116</v>
      </c>
      <c r="C72" s="26">
        <v>7.34</v>
      </c>
    </row>
    <row r="74" spans="1:3" x14ac:dyDescent="0.35">
      <c r="B74" s="20" t="s">
        <v>140</v>
      </c>
    </row>
    <row r="75" spans="1:3" x14ac:dyDescent="0.35">
      <c r="B75" t="s">
        <v>141</v>
      </c>
      <c r="C75" s="41">
        <v>10.7</v>
      </c>
    </row>
    <row r="76" spans="1:3" x14ac:dyDescent="0.35">
      <c r="B76" t="s">
        <v>142</v>
      </c>
      <c r="C76" s="41">
        <v>17.2</v>
      </c>
    </row>
    <row r="77" spans="1:3" x14ac:dyDescent="0.35">
      <c r="B77" t="s">
        <v>143</v>
      </c>
      <c r="C77" s="41">
        <v>28.5</v>
      </c>
    </row>
    <row r="78" spans="1:3" x14ac:dyDescent="0.35">
      <c r="B78" t="s">
        <v>144</v>
      </c>
      <c r="C78" s="41">
        <v>13.25</v>
      </c>
    </row>
  </sheetData>
  <mergeCells count="24">
    <mergeCell ref="A70:C70"/>
    <mergeCell ref="A36:A39"/>
    <mergeCell ref="C36:C39"/>
    <mergeCell ref="A40:A51"/>
    <mergeCell ref="C40:C51"/>
    <mergeCell ref="A52:A56"/>
    <mergeCell ref="C52:C56"/>
    <mergeCell ref="A57:B57"/>
    <mergeCell ref="A58:C58"/>
    <mergeCell ref="A59:A63"/>
    <mergeCell ref="C59:C63"/>
    <mergeCell ref="A64:C64"/>
    <mergeCell ref="A11:C11"/>
    <mergeCell ref="A12:C12"/>
    <mergeCell ref="A13:A26"/>
    <mergeCell ref="C13:C26"/>
    <mergeCell ref="A27:A35"/>
    <mergeCell ref="C27:C35"/>
    <mergeCell ref="A8:C8"/>
    <mergeCell ref="A2:B4"/>
    <mergeCell ref="A5:B5"/>
    <mergeCell ref="A6:B6"/>
    <mergeCell ref="C5:C6"/>
    <mergeCell ref="A7:C7"/>
  </mergeCells>
  <pageMargins left="0.7" right="0.7" top="0.78740157499999996" bottom="0.78740157499999996"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Facharbeiterstunde</vt:lpstr>
      <vt:lpstr>Lehrling 1.LJ</vt:lpstr>
      <vt:lpstr>Lehrling 2.LJ</vt:lpstr>
      <vt:lpstr>Lehrling 3.LJ</vt:lpstr>
      <vt:lpstr>Lohntafel 1.5.16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Facharbeiterstunde Bau Kalkulation</dc:title>
  <dc:creator>Franz Pöschl;mattseer1@gmail.com</dc:creator>
  <cp:lastModifiedBy>Stopper, Mag. Sonja</cp:lastModifiedBy>
  <dcterms:created xsi:type="dcterms:W3CDTF">2017-02-21T15:43:49Z</dcterms:created>
  <dcterms:modified xsi:type="dcterms:W3CDTF">2019-06-12T09:14:12Z</dcterms:modified>
</cp:coreProperties>
</file>