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WO\AWL_LWO_2021\"/>
    </mc:Choice>
  </mc:AlternateContent>
  <xr:revisionPtr revIDLastSave="0" documentId="8_{44DB8267-5D9D-46D0-A7E4-AA6DE4915353}" xr6:coauthVersionLast="45" xr6:coauthVersionMax="45" xr10:uidLastSave="{00000000-0000-0000-0000-000000000000}"/>
  <bookViews>
    <workbookView xWindow="-120" yWindow="-120" windowWidth="25440" windowHeight="15390" firstSheet="2" activeTab="4" xr2:uid="{00000000-000D-0000-FFFF-FFFF00000000}"/>
  </bookViews>
  <sheets>
    <sheet name="K3" sheetId="1" r:id="rId1"/>
    <sheet name="Umgelegte Lohnnebenkosten" sheetId="5" r:id="rId2"/>
    <sheet name="Andere Lohnbestandteile" sheetId="4" r:id="rId3"/>
    <sheet name="Kalkulierte Mannschaft" sheetId="3" r:id="rId4"/>
    <sheet name="KV2020" sheetId="6" r:id="rId5"/>
    <sheet name="Aufzahlung für Mehrarbeit" sheetId="2" r:id="rId6"/>
    <sheet name="K4" sheetId="8" r:id="rId7"/>
    <sheet name="K6" sheetId="9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C5" i="4"/>
  <c r="E9" i="3"/>
  <c r="E8" i="3"/>
  <c r="E7" i="3"/>
  <c r="E6" i="3"/>
  <c r="E5" i="3"/>
  <c r="K15" i="9" l="1"/>
  <c r="D18" i="9" s="1"/>
  <c r="G14" i="9"/>
  <c r="I14" i="9" s="1"/>
  <c r="J13" i="9"/>
  <c r="G13" i="9" s="1"/>
  <c r="I13" i="9" s="1"/>
  <c r="J11" i="9"/>
  <c r="G11" i="9" s="1"/>
  <c r="J9" i="9"/>
  <c r="I9" i="9" s="1"/>
  <c r="J7" i="9"/>
  <c r="G7" i="9" s="1"/>
  <c r="I7" i="9" s="1"/>
  <c r="I12" i="9"/>
  <c r="G12" i="9"/>
  <c r="G10" i="9"/>
  <c r="G8" i="9"/>
  <c r="I10" i="9"/>
  <c r="I8" i="9"/>
  <c r="F15" i="8"/>
  <c r="J15" i="8" s="1"/>
  <c r="K15" i="8" s="1"/>
  <c r="L15" i="8" s="1"/>
  <c r="F14" i="8"/>
  <c r="J14" i="8" s="1"/>
  <c r="F8" i="8"/>
  <c r="J8" i="8" s="1"/>
  <c r="F9" i="8"/>
  <c r="F13" i="8"/>
  <c r="J13" i="8" s="1"/>
  <c r="F12" i="8"/>
  <c r="J12" i="8" s="1"/>
  <c r="F11" i="8"/>
  <c r="J11" i="8" s="1"/>
  <c r="F7" i="8"/>
  <c r="J7" i="8" s="1"/>
  <c r="F10" i="8"/>
  <c r="J10" i="8" s="1"/>
  <c r="K10" i="8" s="1"/>
  <c r="L10" i="8" s="1"/>
  <c r="J6" i="8"/>
  <c r="K6" i="8" s="1"/>
  <c r="F6" i="8"/>
  <c r="F5" i="8"/>
  <c r="J5" i="8" s="1"/>
  <c r="K12" i="8" l="1"/>
  <c r="L12" i="8" s="1"/>
  <c r="K8" i="8"/>
  <c r="L8" i="8" s="1"/>
  <c r="K7" i="8"/>
  <c r="L7" i="8"/>
  <c r="K11" i="8"/>
  <c r="L11" i="8" s="1"/>
  <c r="J15" i="9"/>
  <c r="I19" i="9" s="1"/>
  <c r="H18" i="9"/>
  <c r="I18" i="9" s="1"/>
  <c r="I21" i="9" s="1"/>
  <c r="I22" i="9" s="1"/>
  <c r="I11" i="9"/>
  <c r="I15" i="9" s="1"/>
  <c r="G9" i="9"/>
  <c r="K14" i="8"/>
  <c r="L14" i="8"/>
  <c r="K13" i="8"/>
  <c r="L13" i="8"/>
  <c r="K5" i="8"/>
  <c r="L5" i="8" s="1"/>
  <c r="J9" i="8"/>
  <c r="L6" i="8"/>
  <c r="H21" i="9" l="1"/>
  <c r="K21" i="9" s="1"/>
  <c r="H22" i="9"/>
  <c r="K9" i="8"/>
  <c r="L9" i="8" s="1"/>
  <c r="C12" i="3"/>
  <c r="F12" i="3" l="1"/>
  <c r="K22" i="9"/>
  <c r="K23" i="9" s="1"/>
  <c r="K24" i="9" s="1"/>
  <c r="H12" i="3" l="1"/>
  <c r="G8" i="1"/>
  <c r="F8" i="1"/>
  <c r="E8" i="1"/>
  <c r="D8" i="1"/>
  <c r="F9" i="3" l="1"/>
  <c r="H8" i="1" s="1"/>
  <c r="F8" i="3"/>
  <c r="H8" i="3" s="1"/>
  <c r="F7" i="3"/>
  <c r="H7" i="3" s="1"/>
  <c r="F6" i="3"/>
  <c r="H6" i="3" s="1"/>
  <c r="F5" i="3"/>
  <c r="C35" i="5" l="1"/>
  <c r="F22" i="1" s="1"/>
  <c r="E24" i="5"/>
  <c r="D24" i="5"/>
  <c r="C24" i="5"/>
  <c r="C21" i="2"/>
  <c r="F20" i="1" s="1"/>
  <c r="G5" i="4"/>
  <c r="I12" i="3"/>
  <c r="D11" i="3"/>
  <c r="I6" i="3"/>
  <c r="I7" i="3"/>
  <c r="I8" i="3"/>
  <c r="H9" i="3"/>
  <c r="I9" i="3" s="1"/>
  <c r="H5" i="3"/>
  <c r="I5" i="3" s="1"/>
  <c r="F11" i="3"/>
  <c r="G18" i="3" s="1"/>
  <c r="F9" i="1" l="1"/>
  <c r="C7" i="3" s="1"/>
  <c r="E9" i="1"/>
  <c r="C6" i="3" s="1"/>
  <c r="H9" i="1"/>
  <c r="C9" i="3" s="1"/>
  <c r="D9" i="1"/>
  <c r="C5" i="3" s="1"/>
  <c r="G9" i="1"/>
  <c r="C8" i="3" s="1"/>
  <c r="B6" i="1"/>
  <c r="E11" i="3"/>
  <c r="H17" i="3"/>
  <c r="G11" i="1" s="1"/>
  <c r="F5" i="2" s="1"/>
  <c r="G5" i="2" s="1"/>
  <c r="I11" i="3"/>
  <c r="I14" i="3" s="1"/>
  <c r="F14" i="3"/>
  <c r="C11" i="3" l="1"/>
  <c r="H18" i="3"/>
  <c r="G13" i="1" s="1"/>
  <c r="C25" i="5" s="1"/>
  <c r="C9" i="1"/>
  <c r="G19" i="3"/>
  <c r="F15" i="1" s="1"/>
  <c r="G6" i="2"/>
  <c r="F7" i="2" s="1"/>
  <c r="G7" i="2" s="1"/>
  <c r="G16" i="1" s="1"/>
  <c r="H19" i="3" l="1"/>
  <c r="G15" i="1" s="1"/>
  <c r="F13" i="1"/>
  <c r="B6" i="4"/>
  <c r="G6" i="4" s="1"/>
  <c r="G7" i="4" s="1"/>
  <c r="G8" i="4" s="1"/>
  <c r="G19" i="1" s="1"/>
  <c r="F19" i="1" s="1"/>
  <c r="F16" i="1"/>
  <c r="F18" i="1" l="1"/>
  <c r="G18" i="1" s="1"/>
  <c r="G20" i="1" s="1"/>
  <c r="D25" i="5" l="1"/>
  <c r="E25" i="5" s="1"/>
  <c r="E26" i="5" s="1"/>
  <c r="F21" i="1" s="1"/>
  <c r="F23" i="1" s="1"/>
  <c r="G22" i="1"/>
  <c r="G21" i="1" l="1"/>
  <c r="G23" i="1" s="1"/>
  <c r="G24" i="1" s="1"/>
  <c r="G25" i="1" s="1"/>
</calcChain>
</file>

<file path=xl/sharedStrings.xml><?xml version="1.0" encoding="utf-8"?>
<sst xmlns="http://schemas.openxmlformats.org/spreadsheetml/2006/main" count="398" uniqueCount="305">
  <si>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</si>
  <si>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</si>
  <si>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</si>
  <si>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</si>
  <si>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</si>
  <si>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</si>
  <si>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</si>
  <si>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</si>
  <si>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</si>
  <si>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</si>
  <si>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IV</t>
  </si>
  <si>
    <t>KV-Lohn</t>
  </si>
  <si>
    <t>Lehrling</t>
  </si>
  <si>
    <t>Prozent</t>
  </si>
  <si>
    <t>Anteil in %</t>
  </si>
  <si>
    <t>KV-Mittellohn</t>
  </si>
  <si>
    <t>Bauprojekt</t>
  </si>
  <si>
    <t xml:space="preserve">Angebot Nr. </t>
  </si>
  <si>
    <t>C Zulage</t>
  </si>
  <si>
    <t>gemäß KV</t>
  </si>
  <si>
    <t>überkollektiv</t>
  </si>
  <si>
    <t>(von A+B)</t>
  </si>
  <si>
    <t>für Mehrarbeit</t>
  </si>
  <si>
    <t>F Aufzahlung</t>
  </si>
  <si>
    <t>für Erschwernis</t>
  </si>
  <si>
    <t>= Mittellohn</t>
  </si>
  <si>
    <t>Regielohn</t>
  </si>
  <si>
    <t>40 Std.</t>
  </si>
  <si>
    <t>pro Stunde</t>
  </si>
  <si>
    <t>X</t>
  </si>
  <si>
    <t>II a</t>
  </si>
  <si>
    <t>II b</t>
  </si>
  <si>
    <t>Aufzahlung für Mehrarbeit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</si>
  <si>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</si>
  <si>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</si>
  <si>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</si>
  <si>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</si>
  <si>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</si>
  <si>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</si>
  <si>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</si>
  <si>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Überstun-densatz</t>
  </si>
  <si>
    <t>Überstundenzuschlag %</t>
  </si>
  <si>
    <t>Kalkulierte Mannschaft</t>
  </si>
  <si>
    <t>KV-Gruppe</t>
  </si>
  <si>
    <t>Bezeichnung</t>
  </si>
  <si>
    <t>%</t>
  </si>
  <si>
    <t>Summe</t>
  </si>
  <si>
    <t>Über KV-Lohn</t>
  </si>
  <si>
    <t>Über KV je Stunde</t>
  </si>
  <si>
    <t>Über KV Betrag</t>
  </si>
  <si>
    <t>Facharbeiter</t>
  </si>
  <si>
    <t>Über KV-Lohn %</t>
  </si>
  <si>
    <t>Angelernt</t>
  </si>
  <si>
    <t>Helfer</t>
  </si>
  <si>
    <t>Lohn produktives Personal</t>
  </si>
  <si>
    <t xml:space="preserve">L </t>
  </si>
  <si>
    <t>Vizepolier</t>
  </si>
  <si>
    <t xml:space="preserve"> </t>
  </si>
  <si>
    <t>Lohn mit unprod. Personal</t>
  </si>
  <si>
    <t>Betrag</t>
  </si>
  <si>
    <t xml:space="preserve">pro Std. </t>
  </si>
  <si>
    <t>Umlage unproduktives Personal</t>
  </si>
  <si>
    <t>Andere Lohnbestandteile</t>
  </si>
  <si>
    <t>Taggeld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</si>
  <si>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</si>
  <si>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</si>
  <si>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</si>
  <si>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</si>
  <si>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</si>
  <si>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</si>
  <si>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</si>
  <si>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Zuschlag für unproduktives Personal</t>
  </si>
  <si>
    <t>pro produktiver Stunde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</si>
  <si>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</si>
  <si>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</si>
  <si>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</si>
  <si>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</si>
  <si>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</si>
  <si>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</si>
  <si>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</si>
  <si>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</si>
  <si>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</si>
  <si>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</si>
  <si>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</si>
  <si>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</si>
  <si>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</si>
  <si>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</si>
  <si>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</si>
  <si>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Zuschlag Weihnachtsfeiertage</t>
  </si>
  <si>
    <t>Kosten der Weihnachtsfeiertage</t>
  </si>
  <si>
    <t>Refundierung BUAK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</si>
  <si>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</si>
  <si>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</si>
  <si>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</si>
  <si>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</si>
  <si>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</si>
  <si>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</si>
  <si>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</si>
  <si>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</si>
  <si>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Schlechtwetterentschädigung</t>
  </si>
  <si>
    <t>Ausfallzeiten Betriebsräte</t>
  </si>
  <si>
    <t>Betriebsversammlung</t>
  </si>
  <si>
    <t>Abfertigung</t>
  </si>
  <si>
    <t>Pflegefreistellung</t>
  </si>
  <si>
    <t>Kommunalsteuer f.Ausfalltage</t>
  </si>
  <si>
    <t>Zwischenbetriebliche Ausbildung</t>
  </si>
  <si>
    <t>Kündigungsfristen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</si>
  <si>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</si>
  <si>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</si>
  <si>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</si>
  <si>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</si>
  <si>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</si>
  <si>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</si>
  <si>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</si>
  <si>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</si>
  <si>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</si>
  <si>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</si>
  <si>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</si>
  <si>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</si>
  <si>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</si>
  <si>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</si>
  <si>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</si>
  <si>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</si>
  <si>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</si>
  <si>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</si>
  <si>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</si>
  <si>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</si>
  <si>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</si>
  <si>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</si>
  <si>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</si>
  <si>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</si>
  <si>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</si>
  <si>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</si>
  <si>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</si>
  <si>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</si>
  <si>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</si>
  <si>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</si>
  <si>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</si>
  <si>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</si>
  <si>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Stundenlohn KV</t>
  </si>
  <si>
    <t>Summe Istlohn</t>
  </si>
  <si>
    <t>I. Vizepolier</t>
  </si>
  <si>
    <t>2.808,62</t>
  </si>
  <si>
    <t>II. Facharbeiter</t>
  </si>
  <si>
    <t>a)</t>
  </si>
  <si>
    <t>2.732,34</t>
  </si>
  <si>
    <t>b)</t>
  </si>
  <si>
    <t>2.488,26</t>
  </si>
  <si>
    <t>III. Angelernte Bauarbeiter</t>
  </si>
  <si>
    <t>2.486,57</t>
  </si>
  <si>
    <t>2.428,94</t>
  </si>
  <si>
    <t>c)</t>
  </si>
  <si>
    <t>2.374,70</t>
  </si>
  <si>
    <t>d)</t>
  </si>
  <si>
    <t>2.313,68</t>
  </si>
  <si>
    <t>e)</t>
  </si>
  <si>
    <t>2.230,62</t>
  </si>
  <si>
    <t>IV. Bauhilfsarbeiter</t>
  </si>
  <si>
    <t>2.118,75</t>
  </si>
  <si>
    <t>V. Sonstiges Hilfspersonal</t>
  </si>
  <si>
    <t>1.942,47</t>
  </si>
  <si>
    <t>VI. Lehrlinge</t>
  </si>
  <si>
    <t>1.493,30</t>
  </si>
  <si>
    <t>1.989,93</t>
  </si>
  <si>
    <t>2.239,10</t>
  </si>
  <si>
    <t>VII. Praktikanten</t>
  </si>
  <si>
    <t>1.244,13</t>
  </si>
  <si>
    <t>Lenkstunde </t>
  </si>
  <si>
    <t>(§ 8 Z 1b)</t>
  </si>
  <si>
    <t>Dienstreisevergütungen</t>
  </si>
  <si>
    <t>Taggeld § 9 Z 4 lit a</t>
  </si>
  <si>
    <t>je Tag</t>
  </si>
  <si>
    <t>Taggeld § 9 Z 4 lit b</t>
  </si>
  <si>
    <t>Taggeld § 9 Z 5, 5a und 6</t>
  </si>
  <si>
    <t>Übernachtungsgeld</t>
  </si>
  <si>
    <t>je Nächtigung</t>
  </si>
  <si>
    <t>VPI 2018</t>
  </si>
  <si>
    <t>Lohntabelle 2019</t>
  </si>
  <si>
    <t>Dienstgeberzuschlag</t>
  </si>
  <si>
    <t>A Durchschnittslohn</t>
  </si>
  <si>
    <t>Kalkulierte Mannschaft G18</t>
  </si>
  <si>
    <t>Kalkulierte Mannschaft G19</t>
  </si>
  <si>
    <r>
      <t xml:space="preserve">Werte übernommen aus </t>
    </r>
    <r>
      <rPr>
        <b/>
        <sz val="10"/>
        <color theme="1"/>
        <rFont val="Calibri"/>
        <family val="2"/>
      </rPr>
      <t>H.Wolkersdorfer/C.Lang "Praktische Baukalkulation</t>
    </r>
    <r>
      <rPr>
        <sz val="10"/>
        <color theme="1"/>
        <rFont val="Calibri"/>
        <family val="2"/>
      </rPr>
      <t>, 4. Auflage 2014</t>
    </r>
  </si>
  <si>
    <t>von Mehrarbeit</t>
  </si>
  <si>
    <t>2. Lehrjahr</t>
  </si>
  <si>
    <t xml:space="preserve">39 Stunden + 5 Überstunde </t>
  </si>
  <si>
    <t>80/2019</t>
  </si>
  <si>
    <t>Tabelle:</t>
  </si>
  <si>
    <t>Aufz. Für Mehrarbeit F7</t>
  </si>
  <si>
    <t>Aufzahlung für Mehrarbeit C21</t>
  </si>
  <si>
    <t>B Umlage unproduktives Personal</t>
  </si>
  <si>
    <t>D Überkollektiv-Mehrlohn</t>
  </si>
  <si>
    <t>E Aufzahlung Überstunden</t>
  </si>
  <si>
    <t>Andere Lohnbest. C7</t>
  </si>
  <si>
    <t>Umgelegte LNK. C26</t>
  </si>
  <si>
    <t>Umgelegte LNK. C35</t>
  </si>
  <si>
    <t>angenommen</t>
  </si>
  <si>
    <t>Wochenarbeitszeit</t>
  </si>
  <si>
    <t>Taggeld für geringe Entfernungen</t>
  </si>
  <si>
    <t>Formblatt K4</t>
  </si>
  <si>
    <t>Einheit</t>
  </si>
  <si>
    <t>Materialpreise</t>
  </si>
  <si>
    <t>Bau</t>
  </si>
  <si>
    <t>lf. Nr</t>
  </si>
  <si>
    <t>Materialbezeichnung</t>
  </si>
  <si>
    <t>Antransport</t>
  </si>
  <si>
    <t>Verlust</t>
  </si>
  <si>
    <t>Material-kosten</t>
  </si>
  <si>
    <t>Materialkos-ten frei Bau</t>
  </si>
  <si>
    <t>Preis/Ein-heit</t>
  </si>
  <si>
    <t>1</t>
  </si>
  <si>
    <t>m³</t>
  </si>
  <si>
    <t>Material-preis/Ein-heit</t>
  </si>
  <si>
    <t>Lohn</t>
  </si>
  <si>
    <t>2</t>
  </si>
  <si>
    <t>3</t>
  </si>
  <si>
    <t>Palette</t>
  </si>
  <si>
    <t>Hohlblockziegel 25-38 NF</t>
  </si>
  <si>
    <t>4</t>
  </si>
  <si>
    <t>Baustahlgitter 6x2,4m AQ60</t>
  </si>
  <si>
    <t>Beton C 16/20 XC1</t>
  </si>
  <si>
    <t>Betonrippenstahl 7000x8</t>
  </si>
  <si>
    <t>5</t>
  </si>
  <si>
    <t>6</t>
  </si>
  <si>
    <t>7</t>
  </si>
  <si>
    <t>8</t>
  </si>
  <si>
    <t>9</t>
  </si>
  <si>
    <t>10</t>
  </si>
  <si>
    <t>Innenwandziegel 12-50</t>
  </si>
  <si>
    <t>t</t>
  </si>
  <si>
    <t>Sturz 12,6 x 6,5 x 1750</t>
  </si>
  <si>
    <t>Stk.</t>
  </si>
  <si>
    <t>Feinkalk 40 kg</t>
  </si>
  <si>
    <t>Sack</t>
  </si>
  <si>
    <t>Distanzstreifen 2 m x 14 cm</t>
  </si>
  <si>
    <t>11</t>
  </si>
  <si>
    <t>Schalungsplatten gelb</t>
  </si>
  <si>
    <t>Vierkanthölzer 16 x 16 mm</t>
  </si>
  <si>
    <t>Gesamtzuschlag auf Material = 25 %</t>
  </si>
  <si>
    <t>Gesamtzuschlag</t>
  </si>
  <si>
    <t>Gesamtzu-schlag 25 %</t>
  </si>
  <si>
    <t>K6</t>
  </si>
  <si>
    <t>Geräteeinsatzpreise</t>
  </si>
  <si>
    <t xml:space="preserve">Preisbasis laut Angebot </t>
  </si>
  <si>
    <t>lf.Nr.</t>
  </si>
  <si>
    <t>Baugerät</t>
  </si>
  <si>
    <t>ÖBGL Nr.</t>
  </si>
  <si>
    <t>Neuwert</t>
  </si>
  <si>
    <t>Monatssatz</t>
  </si>
  <si>
    <t>Monate</t>
  </si>
  <si>
    <t>Abschreibung und Verzinsung</t>
  </si>
  <si>
    <t>Reparatur</t>
  </si>
  <si>
    <t>Gesamt</t>
  </si>
  <si>
    <t>C 1.11</t>
  </si>
  <si>
    <t>Baukran</t>
  </si>
  <si>
    <t>Duplex Wohnbau</t>
  </si>
  <si>
    <t>Maschineneinsatz</t>
  </si>
  <si>
    <t>Kosten</t>
  </si>
  <si>
    <t>Abschr.+Verz.</t>
  </si>
  <si>
    <t>Instandhalt.</t>
  </si>
  <si>
    <t>Gerätekosten</t>
  </si>
  <si>
    <t>C.0.70</t>
  </si>
  <si>
    <t>Kranballast</t>
  </si>
  <si>
    <t>A+V</t>
  </si>
  <si>
    <t>U 1:00</t>
  </si>
  <si>
    <t>Deckenstützen</t>
  </si>
  <si>
    <t>E6.33</t>
  </si>
  <si>
    <t>Rüttelbohle elektrisch</t>
  </si>
  <si>
    <t>A</t>
  </si>
  <si>
    <t>B</t>
  </si>
  <si>
    <t>Reparaturen K15</t>
  </si>
  <si>
    <t>50 % Lohn</t>
  </si>
  <si>
    <t>50 % Ersatzteile</t>
  </si>
  <si>
    <t>Sonstiges</t>
  </si>
  <si>
    <t>Abschreibung+Verzinsung</t>
  </si>
  <si>
    <t>C</t>
  </si>
  <si>
    <t>Wertminderung</t>
  </si>
  <si>
    <t>D</t>
  </si>
  <si>
    <t>E</t>
  </si>
  <si>
    <t>Gerätekosten (B+C+D)</t>
  </si>
  <si>
    <t>F</t>
  </si>
  <si>
    <t>G</t>
  </si>
  <si>
    <t>Gerätepreis (E + F)</t>
  </si>
  <si>
    <t>H</t>
  </si>
  <si>
    <t>Stunden pro Monat</t>
  </si>
  <si>
    <t>Mittelpreis pro Arbeitsstunde</t>
  </si>
  <si>
    <t>Energiever-brauch</t>
  </si>
  <si>
    <t>Masse in t  oder KW/h</t>
  </si>
  <si>
    <t>Verrechnung nach tatsächlichem Verbrauch</t>
  </si>
  <si>
    <t>Laden</t>
  </si>
  <si>
    <t>Beträge in €uro</t>
  </si>
  <si>
    <t>Lohntabelle 2020</t>
  </si>
  <si>
    <t>Stundenlohn</t>
  </si>
  <si>
    <t>Monatslohn</t>
  </si>
  <si>
    <t>Krankengeld</t>
  </si>
  <si>
    <t>VPI 2019</t>
  </si>
  <si>
    <t>Großbau Gmbh&amp;CoKG</t>
  </si>
  <si>
    <t>3900 Zwettl</t>
  </si>
  <si>
    <t>Simplex WBG</t>
  </si>
  <si>
    <t>80/2020</t>
  </si>
  <si>
    <t>Großbau GmbH&amp;Co KG 3900 Zwettl</t>
  </si>
  <si>
    <t>Großbau GmbH&amp;CO Kg</t>
  </si>
  <si>
    <t>Stunden-löhne</t>
  </si>
  <si>
    <t>Kranken-entgelt</t>
  </si>
  <si>
    <t>je Näch-tigung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</si>
</sst>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[$€-C07]\ * #,##0.00_-;\-[$€-C07]\ * #,##0.00_-;_-[$€-C07]\ * &quot;-&quot;??_-;_-@_-"/>
    <numFmt numFmtId="168" formatCode="#,##0.00_ ;\-#,##0.00\ "/>
    <numFmt numFmtId="169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3"/>
      <color rgb="FF304C59"/>
      <name val="Arial"/>
      <family val="2"/>
    </font>
    <font>
      <sz val="13"/>
      <color rgb="FF304C5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2938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DDDDDD"/>
      </bottom>
      <diagonal/>
    </border>
    <border>
      <left/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 style="medium">
        <color rgb="FFDDDDDD"/>
      </top>
      <bottom/>
      <diagonal/>
    </border>
    <border>
      <left/>
      <right style="thin">
        <color indexed="64"/>
      </right>
      <top style="medium">
        <color rgb="FFDDDDDD"/>
      </top>
      <bottom style="medium">
        <color rgb="FF29383F"/>
      </bottom>
      <diagonal/>
    </border>
    <border>
      <left style="thin">
        <color indexed="64"/>
      </left>
      <right/>
      <top/>
      <bottom style="medium">
        <color rgb="FFDDDDDD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/>
      <diagonal/>
    </border>
    <border>
      <left style="thin">
        <color indexed="64"/>
      </left>
      <right/>
      <top style="medium">
        <color rgb="FFDDDDDD"/>
      </top>
      <bottom style="medium">
        <color rgb="FF29383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0" fontId="2" fillId="0" borderId="1" xfId="0" applyNumberFormat="1" applyFont="1" applyBorder="1"/>
    <xf numFmtId="0" fontId="2" fillId="7" borderId="1" xfId="0" applyFont="1" applyFill="1" applyBorder="1"/>
    <xf numFmtId="165" fontId="2" fillId="7" borderId="1" xfId="0" applyNumberFormat="1" applyFont="1" applyFill="1" applyBorder="1"/>
    <xf numFmtId="166" fontId="2" fillId="9" borderId="0" xfId="0" applyNumberFormat="1" applyFont="1" applyFill="1"/>
    <xf numFmtId="2" fontId="0" fillId="9" borderId="1" xfId="0" applyNumberForma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49" fontId="0" fillId="12" borderId="1" xfId="0" applyNumberFormat="1" applyFill="1" applyBorder="1" applyAlignment="1">
      <alignment wrapText="1"/>
    </xf>
    <xf numFmtId="0" fontId="0" fillId="12" borderId="1" xfId="0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49" fontId="3" fillId="11" borderId="1" xfId="0" applyNumberFormat="1" applyFon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1" xfId="0" applyFill="1" applyBorder="1"/>
    <xf numFmtId="44" fontId="0" fillId="11" borderId="1" xfId="1" applyFont="1" applyFill="1" applyBorder="1"/>
    <xf numFmtId="10" fontId="0" fillId="11" borderId="1" xfId="2" applyNumberFormat="1" applyFont="1" applyFill="1" applyBorder="1"/>
    <xf numFmtId="16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0" fillId="4" borderId="1" xfId="0" applyNumberFormat="1" applyFill="1" applyBorder="1"/>
    <xf numFmtId="0" fontId="7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9" fontId="0" fillId="0" borderId="0" xfId="0" applyNumberFormat="1"/>
    <xf numFmtId="9" fontId="0" fillId="0" borderId="1" xfId="2" applyNumberFormat="1" applyFont="1" applyBorder="1"/>
    <xf numFmtId="167" fontId="0" fillId="0" borderId="0" xfId="0" applyNumberFormat="1"/>
    <xf numFmtId="49" fontId="0" fillId="0" borderId="0" xfId="0" applyNumberFormat="1"/>
    <xf numFmtId="167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49" fontId="0" fillId="0" borderId="0" xfId="0" applyNumberFormat="1" applyBorder="1"/>
    <xf numFmtId="167" fontId="0" fillId="0" borderId="0" xfId="0" applyNumberFormat="1" applyBorder="1"/>
    <xf numFmtId="2" fontId="0" fillId="0" borderId="0" xfId="0" applyNumberFormat="1" applyBorder="1"/>
    <xf numFmtId="167" fontId="2" fillId="0" borderId="0" xfId="0" applyNumberFormat="1" applyFont="1" applyBorder="1"/>
    <xf numFmtId="49" fontId="4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7" fontId="0" fillId="0" borderId="0" xfId="0" applyNumberFormat="1"/>
    <xf numFmtId="49" fontId="0" fillId="0" borderId="0" xfId="0" applyNumberForma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0" fillId="0" borderId="1" xfId="0" applyFill="1" applyBorder="1"/>
    <xf numFmtId="49" fontId="0" fillId="0" borderId="0" xfId="0" applyNumberFormat="1" applyBorder="1" applyAlignment="1">
      <alignment horizontal="center"/>
    </xf>
    <xf numFmtId="0" fontId="0" fillId="0" borderId="11" xfId="0" applyBorder="1"/>
    <xf numFmtId="49" fontId="0" fillId="0" borderId="1" xfId="0" applyNumberFormat="1" applyBorder="1" applyAlignment="1">
      <alignment horizontal="center" wrapText="1"/>
    </xf>
    <xf numFmtId="0" fontId="0" fillId="0" borderId="15" xfId="0" applyBorder="1"/>
    <xf numFmtId="167" fontId="0" fillId="0" borderId="15" xfId="0" applyNumberFormat="1" applyBorder="1"/>
    <xf numFmtId="9" fontId="0" fillId="0" borderId="16" xfId="0" applyNumberFormat="1" applyBorder="1"/>
    <xf numFmtId="0" fontId="0" fillId="0" borderId="16" xfId="0" applyBorder="1"/>
    <xf numFmtId="0" fontId="0" fillId="0" borderId="13" xfId="0" applyBorder="1"/>
    <xf numFmtId="0" fontId="2" fillId="0" borderId="18" xfId="0" applyFont="1" applyBorder="1"/>
    <xf numFmtId="0" fontId="0" fillId="0" borderId="18" xfId="0" applyBorder="1"/>
    <xf numFmtId="168" fontId="0" fillId="0" borderId="1" xfId="0" applyNumberFormat="1" applyBorder="1"/>
    <xf numFmtId="168" fontId="2" fillId="0" borderId="1" xfId="0" applyNumberFormat="1" applyFont="1" applyBorder="1"/>
    <xf numFmtId="2" fontId="0" fillId="0" borderId="15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2" fillId="2" borderId="14" xfId="0" applyNumberFormat="1" applyFont="1" applyFill="1" applyBorder="1"/>
    <xf numFmtId="168" fontId="0" fillId="0" borderId="15" xfId="0" applyNumberFormat="1" applyBorder="1"/>
    <xf numFmtId="169" fontId="0" fillId="0" borderId="1" xfId="0" applyNumberFormat="1" applyBorder="1"/>
    <xf numFmtId="0" fontId="0" fillId="13" borderId="0" xfId="0" applyFill="1"/>
    <xf numFmtId="0" fontId="6" fillId="13" borderId="6" xfId="0" applyFont="1" applyFill="1" applyBorder="1" applyAlignment="1">
      <alignment vertical="top" wrapText="1"/>
    </xf>
    <xf numFmtId="0" fontId="5" fillId="13" borderId="6" xfId="0" applyFont="1" applyFill="1" applyBorder="1" applyAlignment="1">
      <alignment vertical="top" wrapText="1"/>
    </xf>
    <xf numFmtId="10" fontId="5" fillId="13" borderId="6" xfId="0" applyNumberFormat="1" applyFont="1" applyFill="1" applyBorder="1" applyAlignment="1">
      <alignment vertical="top" wrapText="1"/>
    </xf>
    <xf numFmtId="0" fontId="0" fillId="10" borderId="0" xfId="0" applyFill="1"/>
    <xf numFmtId="0" fontId="5" fillId="10" borderId="6" xfId="0" applyFont="1" applyFill="1" applyBorder="1" applyAlignment="1">
      <alignment vertical="top" wrapText="1"/>
    </xf>
    <xf numFmtId="0" fontId="5" fillId="10" borderId="7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 wrapText="1"/>
    </xf>
    <xf numFmtId="0" fontId="5" fillId="10" borderId="0" xfId="0" applyFont="1" applyFill="1" applyBorder="1" applyAlignment="1">
      <alignment vertical="top" wrapText="1"/>
    </xf>
    <xf numFmtId="0" fontId="5" fillId="10" borderId="8" xfId="0" applyFont="1" applyFill="1" applyBorder="1" applyAlignment="1">
      <alignment vertical="top" wrapText="1"/>
    </xf>
    <xf numFmtId="0" fontId="5" fillId="10" borderId="9" xfId="0" applyFont="1" applyFill="1" applyBorder="1" applyAlignment="1">
      <alignment horizontal="left" wrapText="1"/>
    </xf>
    <xf numFmtId="0" fontId="0" fillId="0" borderId="19" xfId="0" applyBorder="1"/>
    <xf numFmtId="0" fontId="0" fillId="10" borderId="19" xfId="0" applyFill="1" applyBorder="1"/>
    <xf numFmtId="0" fontId="5" fillId="10" borderId="21" xfId="0" applyFont="1" applyFill="1" applyBorder="1" applyAlignment="1">
      <alignment vertical="top" wrapText="1"/>
    </xf>
    <xf numFmtId="0" fontId="5" fillId="10" borderId="22" xfId="0" applyFont="1" applyFill="1" applyBorder="1" applyAlignment="1">
      <alignment vertical="top" wrapText="1"/>
    </xf>
    <xf numFmtId="0" fontId="5" fillId="10" borderId="20" xfId="0" applyFont="1" applyFill="1" applyBorder="1" applyAlignment="1">
      <alignment vertical="top" wrapText="1"/>
    </xf>
    <xf numFmtId="0" fontId="5" fillId="10" borderId="23" xfId="0" applyFont="1" applyFill="1" applyBorder="1" applyAlignment="1">
      <alignment horizontal="left" wrapText="1"/>
    </xf>
    <xf numFmtId="10" fontId="5" fillId="10" borderId="21" xfId="0" applyNumberFormat="1" applyFont="1" applyFill="1" applyBorder="1" applyAlignment="1">
      <alignment vertical="top" wrapText="1"/>
    </xf>
    <xf numFmtId="0" fontId="0" fillId="13" borderId="25" xfId="0" applyFill="1" applyBorder="1"/>
    <xf numFmtId="0" fontId="0" fillId="13" borderId="0" xfId="0" applyFill="1" applyBorder="1"/>
    <xf numFmtId="0" fontId="6" fillId="13" borderId="26" xfId="0" applyFont="1" applyFill="1" applyBorder="1" applyAlignment="1">
      <alignment vertical="top" wrapText="1"/>
    </xf>
    <xf numFmtId="0" fontId="5" fillId="13" borderId="26" xfId="0" applyFont="1" applyFill="1" applyBorder="1" applyAlignment="1">
      <alignment vertical="top" wrapText="1"/>
    </xf>
    <xf numFmtId="0" fontId="6" fillId="13" borderId="27" xfId="0" applyFont="1" applyFill="1" applyBorder="1" applyAlignment="1">
      <alignment vertical="top" wrapText="1"/>
    </xf>
    <xf numFmtId="0" fontId="6" fillId="13" borderId="24" xfId="0" applyFont="1" applyFill="1" applyBorder="1" applyAlignment="1">
      <alignment vertical="top" wrapText="1"/>
    </xf>
    <xf numFmtId="49" fontId="0" fillId="10" borderId="0" xfId="0" applyNumberFormat="1" applyFill="1" applyAlignment="1">
      <alignment wrapText="1"/>
    </xf>
    <xf numFmtId="49" fontId="0" fillId="10" borderId="19" xfId="0" applyNumberFormat="1" applyFill="1" applyBorder="1" applyAlignment="1">
      <alignment wrapText="1"/>
    </xf>
    <xf numFmtId="49" fontId="0" fillId="13" borderId="0" xfId="0" applyNumberFormat="1" applyFill="1" applyAlignment="1">
      <alignment wrapText="1"/>
    </xf>
    <xf numFmtId="49" fontId="0" fillId="13" borderId="25" xfId="0" applyNumberFormat="1" applyFill="1" applyBorder="1" applyAlignment="1">
      <alignment wrapText="1"/>
    </xf>
    <xf numFmtId="49" fontId="0" fillId="13" borderId="0" xfId="0" applyNumberFormat="1" applyFill="1" applyBorder="1" applyAlignment="1">
      <alignment wrapText="1"/>
    </xf>
    <xf numFmtId="0" fontId="2" fillId="0" borderId="0" xfId="0" applyFont="1"/>
    <xf numFmtId="0" fontId="6" fillId="13" borderId="28" xfId="0" applyFont="1" applyFill="1" applyBorder="1" applyAlignment="1">
      <alignment horizontal="left" wrapText="1"/>
    </xf>
    <xf numFmtId="0" fontId="6" fillId="13" borderId="9" xfId="0" applyFont="1" applyFill="1" applyBorder="1" applyAlignment="1">
      <alignment horizontal="left" wrapText="1"/>
    </xf>
    <xf numFmtId="0" fontId="6" fillId="13" borderId="26" xfId="0" applyFont="1" applyFill="1" applyBorder="1" applyAlignment="1">
      <alignment vertical="top" wrapText="1"/>
    </xf>
    <xf numFmtId="0" fontId="6" fillId="13" borderId="6" xfId="0" applyFont="1" applyFill="1" applyBorder="1" applyAlignment="1">
      <alignment vertical="top" wrapText="1"/>
    </xf>
    <xf numFmtId="0" fontId="5" fillId="13" borderId="7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 wrapText="1"/>
    </xf>
    <xf numFmtId="49" fontId="0" fillId="4" borderId="4" xfId="0" applyNumberForma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G7" sqref="G7"/>
    </sheetView>
  </sheetViews>
  <sheetFormatPr baseColWidth="10" defaultRowHeight="15" x14ac:dyDescent="0.25"/>
  <cols>
    <col min="1" max="1" width="20.140625" style="3" customWidth="1"/>
    <col min="2" max="2" width="14.7109375" style="3" customWidth="1"/>
    <col min="3" max="3" width="14.5703125" customWidth="1"/>
    <col min="4" max="4" width="7.42578125" customWidth="1"/>
  </cols>
  <sheetData>
    <row r="1" spans="1:9" ht="21" x14ac:dyDescent="0.35">
      <c r="A1" s="39" t="s">
        <v>125</v>
      </c>
      <c r="B1" s="39"/>
      <c r="E1" t="s">
        <v>0</v>
      </c>
      <c r="F1" s="2" t="s">
        <v>1</v>
      </c>
    </row>
    <row r="2" spans="1:9" ht="30" x14ac:dyDescent="0.25">
      <c r="A2" s="3" t="s">
        <v>296</v>
      </c>
      <c r="B2" s="3" t="s">
        <v>297</v>
      </c>
      <c r="E2" t="s">
        <v>2</v>
      </c>
      <c r="F2" s="1">
        <v>44082</v>
      </c>
      <c r="G2" t="s">
        <v>3</v>
      </c>
    </row>
    <row r="3" spans="1:9" x14ac:dyDescent="0.25">
      <c r="A3" s="29" t="s">
        <v>16</v>
      </c>
      <c r="B3" s="29"/>
      <c r="C3" s="30" t="s">
        <v>298</v>
      </c>
      <c r="D3" s="30"/>
      <c r="E3" s="30" t="s">
        <v>4</v>
      </c>
      <c r="F3" s="31" t="s">
        <v>29</v>
      </c>
      <c r="G3" s="30"/>
      <c r="H3" s="32"/>
    </row>
    <row r="4" spans="1:9" x14ac:dyDescent="0.25">
      <c r="A4" s="29" t="s">
        <v>17</v>
      </c>
      <c r="B4" s="29"/>
      <c r="C4" s="30" t="s">
        <v>186</v>
      </c>
      <c r="D4" s="30"/>
      <c r="E4" s="30" t="s">
        <v>5</v>
      </c>
      <c r="F4" s="31">
        <v>0</v>
      </c>
      <c r="G4" s="30" t="s">
        <v>6</v>
      </c>
      <c r="H4" s="32"/>
    </row>
    <row r="5" spans="1:9" x14ac:dyDescent="0.25">
      <c r="A5" s="33"/>
      <c r="B5" s="33"/>
      <c r="C5" s="32"/>
      <c r="D5" s="32"/>
      <c r="E5" s="32"/>
      <c r="F5" s="32"/>
      <c r="G5" s="32"/>
      <c r="H5" s="32"/>
      <c r="I5" s="32"/>
    </row>
    <row r="6" spans="1:9" x14ac:dyDescent="0.25">
      <c r="A6" s="34" t="s">
        <v>9</v>
      </c>
      <c r="B6" s="32">
        <f>'Kalkulierte Mannschaft'!D11</f>
        <v>7</v>
      </c>
      <c r="C6" s="32"/>
      <c r="D6" s="35" t="s">
        <v>7</v>
      </c>
      <c r="E6" s="32"/>
      <c r="F6" s="32"/>
      <c r="G6" s="36">
        <v>43952</v>
      </c>
      <c r="H6" s="32"/>
    </row>
    <row r="7" spans="1:9" ht="30" x14ac:dyDescent="0.25">
      <c r="A7" s="29" t="s">
        <v>197</v>
      </c>
      <c r="B7" s="29" t="s">
        <v>185</v>
      </c>
      <c r="C7" s="37" t="s">
        <v>27</v>
      </c>
      <c r="D7" s="31" t="s">
        <v>30</v>
      </c>
      <c r="E7" s="31" t="s">
        <v>31</v>
      </c>
      <c r="F7" s="31" t="s">
        <v>30</v>
      </c>
      <c r="G7" s="31" t="s">
        <v>10</v>
      </c>
      <c r="H7" s="30" t="s">
        <v>12</v>
      </c>
    </row>
    <row r="8" spans="1:9" x14ac:dyDescent="0.25">
      <c r="A8" s="29"/>
      <c r="B8" s="30" t="s">
        <v>11</v>
      </c>
      <c r="C8" s="30"/>
      <c r="D8" s="30">
        <f>'Kalkulierte Mannschaft'!E5</f>
        <v>16.53</v>
      </c>
      <c r="E8" s="30">
        <f>'Kalkulierte Mannschaft'!E6</f>
        <v>15.05</v>
      </c>
      <c r="F8" s="30">
        <f>'Kalkulierte Mannschaft'!E7</f>
        <v>13.5</v>
      </c>
      <c r="G8" s="30">
        <f>'Kalkulierte Mannschaft'!E8</f>
        <v>12.82</v>
      </c>
      <c r="H8" s="73">
        <f>'Kalkulierte Mannschaft'!F9</f>
        <v>9.0299999999999994</v>
      </c>
    </row>
    <row r="9" spans="1:9" x14ac:dyDescent="0.25">
      <c r="A9" s="29"/>
      <c r="B9" s="30" t="s">
        <v>14</v>
      </c>
      <c r="C9" s="38">
        <f>D9+E9+F9+G9+H9</f>
        <v>1</v>
      </c>
      <c r="D9" s="38">
        <f>'Kalkulierte Mannschaft'!D5/'Kalkulierte Mannschaft'!D11</f>
        <v>0.14285714285714285</v>
      </c>
      <c r="E9" s="38">
        <f>'Kalkulierte Mannschaft'!D6/'Kalkulierte Mannschaft'!D11</f>
        <v>0.14285714285714285</v>
      </c>
      <c r="F9" s="38">
        <f>'Kalkulierte Mannschaft'!D7/'Kalkulierte Mannschaft'!D11</f>
        <v>0.2857142857142857</v>
      </c>
      <c r="G9" s="38">
        <f>'Kalkulierte Mannschaft'!D8/'Kalkulierte Mannschaft'!D11</f>
        <v>0.2857142857142857</v>
      </c>
      <c r="H9" s="38">
        <f>'Kalkulierte Mannschaft'!D9/'Kalkulierte Mannschaft'!D11</f>
        <v>0.14285714285714285</v>
      </c>
    </row>
    <row r="11" spans="1:9" x14ac:dyDescent="0.25">
      <c r="A11" s="3" t="s">
        <v>179</v>
      </c>
      <c r="E11" s="18" t="s">
        <v>26</v>
      </c>
      <c r="F11" s="8">
        <v>1</v>
      </c>
      <c r="G11" s="61">
        <f>'Kalkulierte Mannschaft'!H17</f>
        <v>14.079542857142858</v>
      </c>
    </row>
    <row r="12" spans="1:9" x14ac:dyDescent="0.25">
      <c r="A12" s="19" t="s">
        <v>113</v>
      </c>
      <c r="B12" s="20" t="s">
        <v>112</v>
      </c>
      <c r="C12" s="19" t="s">
        <v>187</v>
      </c>
      <c r="D12" s="20"/>
      <c r="E12" s="21"/>
      <c r="F12" s="21"/>
      <c r="G12" s="21"/>
    </row>
    <row r="13" spans="1:9" ht="45" x14ac:dyDescent="0.25">
      <c r="A13" s="22" t="s">
        <v>190</v>
      </c>
      <c r="B13" s="23" t="s">
        <v>114</v>
      </c>
      <c r="C13" s="22" t="s">
        <v>180</v>
      </c>
      <c r="D13" s="20"/>
      <c r="E13" s="24"/>
      <c r="F13" s="24">
        <f>'Kalkulierte Mannschaft'!G18</f>
        <v>0.11894765252118571</v>
      </c>
      <c r="G13" s="25">
        <f>'Kalkulierte Mannschaft'!H18</f>
        <v>1.6747285714285709</v>
      </c>
    </row>
    <row r="14" spans="1:9" x14ac:dyDescent="0.25">
      <c r="A14" s="22" t="s">
        <v>18</v>
      </c>
      <c r="B14" s="20" t="s">
        <v>19</v>
      </c>
      <c r="C14" s="22"/>
      <c r="D14" s="20"/>
      <c r="E14" s="20"/>
      <c r="F14" s="24"/>
      <c r="G14" s="25"/>
    </row>
    <row r="15" spans="1:9" ht="45" x14ac:dyDescent="0.25">
      <c r="A15" s="22" t="s">
        <v>191</v>
      </c>
      <c r="B15" s="20" t="s">
        <v>20</v>
      </c>
      <c r="C15" s="22" t="s">
        <v>181</v>
      </c>
      <c r="D15" s="20"/>
      <c r="E15" s="20" t="s">
        <v>21</v>
      </c>
      <c r="F15" s="24">
        <f>'Kalkulierte Mannschaft'!G19</f>
        <v>9.6004912903016326E-2</v>
      </c>
      <c r="G15" s="25">
        <f>'Kalkulierte Mannschaft'!H19</f>
        <v>1.3517052857142857</v>
      </c>
    </row>
    <row r="16" spans="1:9" ht="30" x14ac:dyDescent="0.25">
      <c r="A16" s="22" t="s">
        <v>192</v>
      </c>
      <c r="B16" s="20" t="s">
        <v>22</v>
      </c>
      <c r="C16" s="22" t="s">
        <v>188</v>
      </c>
      <c r="D16" s="20"/>
      <c r="E16" s="20" t="s">
        <v>21</v>
      </c>
      <c r="F16" s="26">
        <f>'Aufzahlung für Mehrarbeit'!F7</f>
        <v>7.3863636363636159E-2</v>
      </c>
      <c r="G16" s="25">
        <f>'Aufzahlung für Mehrarbeit'!G7</f>
        <v>1.039966233766231</v>
      </c>
    </row>
    <row r="17" spans="1:7" x14ac:dyDescent="0.25">
      <c r="A17" s="22" t="s">
        <v>23</v>
      </c>
      <c r="B17" s="20" t="s">
        <v>24</v>
      </c>
      <c r="C17" s="22" t="s">
        <v>196</v>
      </c>
      <c r="D17" s="20"/>
      <c r="E17" s="20" t="s">
        <v>21</v>
      </c>
      <c r="F17" s="24">
        <v>9.5200000000000007E-2</v>
      </c>
      <c r="G17" s="25">
        <v>1.1100000000000001</v>
      </c>
    </row>
    <row r="18" spans="1:7" x14ac:dyDescent="0.25">
      <c r="A18" s="72" t="s">
        <v>25</v>
      </c>
      <c r="B18" s="20" t="s">
        <v>28</v>
      </c>
      <c r="C18" s="19"/>
      <c r="D18" s="20"/>
      <c r="E18" s="20"/>
      <c r="F18" s="24">
        <f>SUM(F11:F17)</f>
        <v>1.3840162017878381</v>
      </c>
      <c r="G18" s="71">
        <f>G11*F18</f>
        <v>19.486315428051945</v>
      </c>
    </row>
    <row r="19" spans="1:7" ht="30" x14ac:dyDescent="0.25">
      <c r="A19" s="22" t="s">
        <v>111</v>
      </c>
      <c r="B19" s="20" t="s">
        <v>63</v>
      </c>
      <c r="C19" s="22" t="s">
        <v>193</v>
      </c>
      <c r="D19" s="20"/>
      <c r="E19" s="20"/>
      <c r="F19" s="27">
        <f>G19/G11</f>
        <v>0.10828236342820392</v>
      </c>
      <c r="G19" s="25">
        <f>'Andere Lohnbestandteile'!G8</f>
        <v>1.5245661765601155</v>
      </c>
    </row>
    <row r="20" spans="1:7" ht="30" x14ac:dyDescent="0.25">
      <c r="A20" s="22" t="s">
        <v>85</v>
      </c>
      <c r="B20" s="22" t="s">
        <v>84</v>
      </c>
      <c r="C20" s="22" t="s">
        <v>189</v>
      </c>
      <c r="D20" s="20"/>
      <c r="E20" s="20"/>
      <c r="F20" s="24">
        <f>'Aufzahlung für Mehrarbeit'!C21</f>
        <v>0.27910000000000001</v>
      </c>
      <c r="G20" s="28">
        <f>G18*F20</f>
        <v>5.4386306359692984</v>
      </c>
    </row>
    <row r="21" spans="1:7" ht="30" x14ac:dyDescent="0.25">
      <c r="A21" s="22" t="s">
        <v>86</v>
      </c>
      <c r="B21" s="22" t="s">
        <v>110</v>
      </c>
      <c r="C21" s="22" t="s">
        <v>194</v>
      </c>
      <c r="D21" s="20"/>
      <c r="E21" s="20"/>
      <c r="F21" s="24">
        <f>'Umgelegte Lohnnebenkosten'!E26</f>
        <v>0.74664911942701284</v>
      </c>
      <c r="G21" s="28">
        <f>G18*F21</f>
        <v>14.549440255232</v>
      </c>
    </row>
    <row r="22" spans="1:7" ht="30" x14ac:dyDescent="0.25">
      <c r="A22" s="22" t="s">
        <v>116</v>
      </c>
      <c r="B22" s="22" t="s">
        <v>117</v>
      </c>
      <c r="C22" s="22" t="s">
        <v>195</v>
      </c>
      <c r="D22" s="20"/>
      <c r="E22" s="20"/>
      <c r="F22" s="24">
        <f>'Umgelegte Lohnnebenkosten'!C35</f>
        <v>0.1341</v>
      </c>
      <c r="G22" s="28">
        <f>G18*F22</f>
        <v>2.6131148989017658</v>
      </c>
    </row>
    <row r="23" spans="1:7" ht="30" x14ac:dyDescent="0.25">
      <c r="A23" s="51" t="s">
        <v>8</v>
      </c>
      <c r="B23" s="6" t="s">
        <v>126</v>
      </c>
      <c r="C23" s="4"/>
      <c r="D23" s="4"/>
      <c r="E23" s="4"/>
      <c r="F23" s="52">
        <f>SUM(F18:F22)</f>
        <v>2.6521476846430549</v>
      </c>
      <c r="G23" s="53">
        <f>SUM(G18:G22)</f>
        <v>43.612067394715119</v>
      </c>
    </row>
    <row r="24" spans="1:7" ht="30" x14ac:dyDescent="0.25">
      <c r="A24" s="57" t="s">
        <v>134</v>
      </c>
      <c r="B24" s="57" t="s">
        <v>135</v>
      </c>
      <c r="C24" s="58" t="s">
        <v>133</v>
      </c>
      <c r="D24" s="4"/>
      <c r="E24" s="4"/>
      <c r="F24" s="5">
        <v>0.25</v>
      </c>
      <c r="G24" s="17">
        <f>G23*F24</f>
        <v>10.90301684867878</v>
      </c>
    </row>
    <row r="25" spans="1:7" ht="15.75" x14ac:dyDescent="0.25">
      <c r="A25" s="59" t="s">
        <v>127</v>
      </c>
      <c r="B25" s="60"/>
      <c r="C25" s="56"/>
      <c r="D25" s="56"/>
      <c r="E25" s="54"/>
      <c r="F25" s="54"/>
      <c r="G25" s="55">
        <f>G23+G24</f>
        <v>54.5150842433939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A29" sqref="A29:C35"/>
    </sheetView>
  </sheetViews>
  <sheetFormatPr baseColWidth="10" defaultRowHeight="15" x14ac:dyDescent="0.25"/>
  <cols>
    <col min="1" max="1" width="28.85546875" customWidth="1"/>
    <col min="2" max="2" width="14.42578125" customWidth="1"/>
  </cols>
  <sheetData>
    <row r="1" spans="1:5" ht="15.75" x14ac:dyDescent="0.25">
      <c r="A1" s="2" t="s">
        <v>86</v>
      </c>
    </row>
    <row r="2" spans="1:5" x14ac:dyDescent="0.25">
      <c r="A2" s="74" t="s">
        <v>182</v>
      </c>
      <c r="B2" s="75"/>
      <c r="C2" s="75"/>
      <c r="D2" s="75"/>
      <c r="E2" s="75"/>
    </row>
    <row r="3" spans="1:5" ht="26.25" customHeight="1" x14ac:dyDescent="0.25">
      <c r="C3" s="76" t="s">
        <v>183</v>
      </c>
      <c r="D3" s="76" t="s">
        <v>107</v>
      </c>
      <c r="E3" s="76" t="s">
        <v>108</v>
      </c>
    </row>
    <row r="4" spans="1:5" x14ac:dyDescent="0.25">
      <c r="A4" s="4" t="s">
        <v>87</v>
      </c>
      <c r="B4" s="4"/>
      <c r="C4" s="8">
        <v>4.9299999999999997E-2</v>
      </c>
      <c r="D4" s="4"/>
      <c r="E4" s="4"/>
    </row>
    <row r="5" spans="1:5" x14ac:dyDescent="0.25">
      <c r="A5" s="4" t="s">
        <v>88</v>
      </c>
      <c r="B5" s="4"/>
      <c r="C5" s="4"/>
      <c r="D5" s="4"/>
      <c r="E5" s="8">
        <v>3.27E-2</v>
      </c>
    </row>
    <row r="6" spans="1:5" x14ac:dyDescent="0.25">
      <c r="A6" s="4" t="s">
        <v>89</v>
      </c>
      <c r="B6" s="4"/>
      <c r="C6" s="8">
        <v>2.7699999999999999E-2</v>
      </c>
      <c r="D6" s="4"/>
      <c r="E6" s="4"/>
    </row>
    <row r="7" spans="1:5" x14ac:dyDescent="0.25">
      <c r="A7" s="4" t="s">
        <v>90</v>
      </c>
      <c r="B7" s="4"/>
      <c r="C7" s="4"/>
      <c r="D7" s="4"/>
      <c r="E7" s="8">
        <v>-3.0599999999999999E-2</v>
      </c>
    </row>
    <row r="8" spans="1:5" x14ac:dyDescent="0.25">
      <c r="A8" s="4" t="s">
        <v>91</v>
      </c>
      <c r="B8" s="4"/>
      <c r="C8" s="8">
        <v>3.2000000000000002E-3</v>
      </c>
      <c r="D8" s="4"/>
      <c r="E8" s="4"/>
    </row>
    <row r="9" spans="1:5" x14ac:dyDescent="0.25">
      <c r="A9" s="4" t="s">
        <v>92</v>
      </c>
      <c r="B9" s="4"/>
      <c r="C9" s="4"/>
      <c r="D9" s="4"/>
      <c r="E9" s="8">
        <v>0.4425</v>
      </c>
    </row>
    <row r="10" spans="1:5" x14ac:dyDescent="0.25">
      <c r="A10" s="4" t="s">
        <v>93</v>
      </c>
      <c r="B10" s="4"/>
      <c r="C10" s="4"/>
      <c r="D10" s="4"/>
      <c r="E10" s="8">
        <v>2.1600000000000001E-2</v>
      </c>
    </row>
    <row r="11" spans="1:5" x14ac:dyDescent="0.25">
      <c r="A11" s="4" t="s">
        <v>94</v>
      </c>
      <c r="B11" s="4"/>
      <c r="C11" s="8">
        <v>6.6100000000000006E-2</v>
      </c>
      <c r="D11" s="4"/>
      <c r="E11" s="4"/>
    </row>
    <row r="12" spans="1:5" x14ac:dyDescent="0.25">
      <c r="A12" s="4" t="s">
        <v>95</v>
      </c>
      <c r="B12" s="4"/>
      <c r="C12" s="4"/>
      <c r="D12" s="4"/>
      <c r="E12" s="8">
        <v>1.6000000000000001E-3</v>
      </c>
    </row>
    <row r="13" spans="1:5" x14ac:dyDescent="0.25">
      <c r="A13" s="4" t="s">
        <v>96</v>
      </c>
      <c r="B13" s="4"/>
      <c r="C13" s="4"/>
      <c r="D13" s="8">
        <v>0.14360000000000001</v>
      </c>
      <c r="E13" s="4"/>
    </row>
    <row r="14" spans="1:5" x14ac:dyDescent="0.25">
      <c r="A14" s="4" t="s">
        <v>97</v>
      </c>
      <c r="B14" s="4"/>
      <c r="C14" s="4"/>
      <c r="D14" s="8">
        <v>4.2200000000000001E-2</v>
      </c>
      <c r="E14" s="4"/>
    </row>
    <row r="15" spans="1:5" x14ac:dyDescent="0.25">
      <c r="A15" s="4" t="s">
        <v>98</v>
      </c>
      <c r="B15" s="4"/>
      <c r="C15" s="8">
        <v>2.7000000000000001E-3</v>
      </c>
      <c r="D15" s="4"/>
      <c r="E15" s="4"/>
    </row>
    <row r="16" spans="1:5" x14ac:dyDescent="0.25">
      <c r="A16" s="4" t="s">
        <v>99</v>
      </c>
      <c r="B16" s="4"/>
      <c r="C16" s="8">
        <v>1.6000000000000001E-3</v>
      </c>
      <c r="D16" s="4"/>
      <c r="E16" s="4"/>
    </row>
    <row r="17" spans="1:5" x14ac:dyDescent="0.25">
      <c r="A17" s="4" t="s">
        <v>100</v>
      </c>
      <c r="B17" s="4"/>
      <c r="C17" s="4"/>
      <c r="D17" s="4"/>
      <c r="E17" s="8">
        <v>8.5000000000000006E-3</v>
      </c>
    </row>
    <row r="18" spans="1:5" x14ac:dyDescent="0.25">
      <c r="A18" s="4" t="s">
        <v>101</v>
      </c>
      <c r="B18" s="4"/>
      <c r="C18" s="4"/>
      <c r="D18" s="4"/>
      <c r="E18" s="8">
        <v>1.1999999999999999E-3</v>
      </c>
    </row>
    <row r="19" spans="1:5" x14ac:dyDescent="0.25">
      <c r="A19" s="4" t="s">
        <v>102</v>
      </c>
      <c r="B19" s="4"/>
      <c r="C19" s="4"/>
      <c r="D19" s="4"/>
      <c r="E19" s="8">
        <v>4.9500000000000002E-2</v>
      </c>
    </row>
    <row r="20" spans="1:5" x14ac:dyDescent="0.25">
      <c r="A20" s="4" t="s">
        <v>103</v>
      </c>
      <c r="B20" s="4"/>
      <c r="C20" s="8">
        <v>3.2000000000000002E-3</v>
      </c>
      <c r="D20" s="4"/>
      <c r="E20" s="4"/>
    </row>
    <row r="21" spans="1:5" x14ac:dyDescent="0.25">
      <c r="A21" s="4" t="s">
        <v>104</v>
      </c>
      <c r="B21" s="4"/>
      <c r="C21" s="8">
        <v>2.8E-3</v>
      </c>
      <c r="D21" s="4"/>
      <c r="E21" s="4"/>
    </row>
    <row r="22" spans="1:5" x14ac:dyDescent="0.25">
      <c r="A22" s="4" t="s">
        <v>105</v>
      </c>
      <c r="B22" s="4"/>
      <c r="C22" s="4"/>
      <c r="D22" s="4"/>
      <c r="E22" s="8">
        <v>1.4800000000000001E-2</v>
      </c>
    </row>
    <row r="23" spans="1:5" x14ac:dyDescent="0.25">
      <c r="A23" s="4" t="s">
        <v>106</v>
      </c>
      <c r="B23" s="4"/>
      <c r="C23" s="8">
        <v>1.8E-3</v>
      </c>
      <c r="D23" s="4"/>
      <c r="E23" s="4"/>
    </row>
    <row r="24" spans="1:5" x14ac:dyDescent="0.25">
      <c r="A24" s="4" t="s">
        <v>46</v>
      </c>
      <c r="B24" s="8" t="s">
        <v>57</v>
      </c>
      <c r="C24" s="8">
        <f>SUM(C4:C23)</f>
        <v>0.15839999999999999</v>
      </c>
      <c r="D24" s="8">
        <f>SUM(D5:D15)</f>
        <v>0.18580000000000002</v>
      </c>
      <c r="E24" s="8">
        <f>SUM(E5:E23)</f>
        <v>0.54180000000000006</v>
      </c>
    </row>
    <row r="25" spans="1:5" ht="30" x14ac:dyDescent="0.25">
      <c r="A25" s="43" t="s">
        <v>109</v>
      </c>
      <c r="B25" s="6" t="s">
        <v>115</v>
      </c>
      <c r="C25" s="16">
        <f>('K3'!G11+'K3'!G13)</f>
        <v>15.754271428571428</v>
      </c>
      <c r="D25" s="4">
        <f>'K3'!G18</f>
        <v>19.486315428051945</v>
      </c>
      <c r="E25" s="44">
        <f>C25/D25</f>
        <v>0.8084787237864387</v>
      </c>
    </row>
    <row r="26" spans="1:5" ht="15.75" x14ac:dyDescent="0.25">
      <c r="A26" s="2" t="s">
        <v>86</v>
      </c>
      <c r="B26" s="2" t="s">
        <v>128</v>
      </c>
      <c r="E26" s="45">
        <f>C24+D24*E25+E24*E25</f>
        <v>0.74664911942701284</v>
      </c>
    </row>
    <row r="28" spans="1:5" ht="15.75" x14ac:dyDescent="0.25">
      <c r="A28" s="40" t="s">
        <v>118</v>
      </c>
      <c r="B28" s="41"/>
    </row>
    <row r="29" spans="1:5" x14ac:dyDescent="0.25">
      <c r="A29" s="4" t="s">
        <v>119</v>
      </c>
      <c r="B29" s="4"/>
      <c r="C29" s="8">
        <v>0.03</v>
      </c>
    </row>
    <row r="30" spans="1:5" x14ac:dyDescent="0.25">
      <c r="A30" s="4" t="s">
        <v>120</v>
      </c>
      <c r="B30" s="4"/>
      <c r="C30" s="8">
        <v>3.4099999999999998E-2</v>
      </c>
    </row>
    <row r="31" spans="1:5" x14ac:dyDescent="0.25">
      <c r="A31" s="4" t="s">
        <v>121</v>
      </c>
      <c r="B31" s="4"/>
      <c r="C31" s="8">
        <v>2.5000000000000001E-2</v>
      </c>
    </row>
    <row r="32" spans="1:5" x14ac:dyDescent="0.25">
      <c r="A32" s="4" t="s">
        <v>122</v>
      </c>
      <c r="B32" s="4"/>
      <c r="C32" s="8">
        <v>1.6E-2</v>
      </c>
    </row>
    <row r="33" spans="1:3" x14ac:dyDescent="0.25">
      <c r="A33" s="4" t="s">
        <v>123</v>
      </c>
      <c r="B33" s="4"/>
      <c r="C33" s="8">
        <v>1.7999999999999999E-2</v>
      </c>
    </row>
    <row r="34" spans="1:3" x14ac:dyDescent="0.25">
      <c r="A34" s="4" t="s">
        <v>124</v>
      </c>
      <c r="B34" s="4"/>
      <c r="C34" s="8">
        <v>1.0999999999999999E-2</v>
      </c>
    </row>
    <row r="35" spans="1:3" x14ac:dyDescent="0.25">
      <c r="A35" s="4" t="s">
        <v>46</v>
      </c>
      <c r="B35" s="4"/>
      <c r="C35" s="42">
        <f>SUM(C29:C34)</f>
        <v>0.1341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C6" sqref="C6"/>
    </sheetView>
  </sheetViews>
  <sheetFormatPr baseColWidth="10" defaultRowHeight="15" x14ac:dyDescent="0.25"/>
  <cols>
    <col min="1" max="1" width="17" customWidth="1"/>
    <col min="2" max="2" width="9.5703125" customWidth="1"/>
  </cols>
  <sheetData>
    <row r="1" spans="1:8" ht="15.75" x14ac:dyDescent="0.25">
      <c r="A1" s="2" t="s">
        <v>62</v>
      </c>
    </row>
    <row r="2" spans="1:8" ht="15.75" x14ac:dyDescent="0.25">
      <c r="A2" s="2"/>
    </row>
    <row r="3" spans="1:8" x14ac:dyDescent="0.25">
      <c r="A3" t="s">
        <v>198</v>
      </c>
    </row>
    <row r="4" spans="1:8" ht="45" x14ac:dyDescent="0.25">
      <c r="A4" s="6" t="s">
        <v>65</v>
      </c>
      <c r="B4" s="6" t="s">
        <v>66</v>
      </c>
      <c r="C4" s="6" t="s">
        <v>59</v>
      </c>
      <c r="D4" s="6" t="s">
        <v>64</v>
      </c>
      <c r="E4" s="6" t="s">
        <v>70</v>
      </c>
      <c r="F4" s="6" t="s">
        <v>67</v>
      </c>
      <c r="G4" s="6" t="s">
        <v>68</v>
      </c>
      <c r="H4" s="3"/>
    </row>
    <row r="5" spans="1:8" x14ac:dyDescent="0.25">
      <c r="A5" s="4" t="s">
        <v>63</v>
      </c>
      <c r="B5" s="4">
        <v>100</v>
      </c>
      <c r="C5" s="4">
        <f>'KV2020'!C27</f>
        <v>10.9</v>
      </c>
      <c r="D5" s="4" t="s">
        <v>69</v>
      </c>
      <c r="E5" s="4">
        <v>5</v>
      </c>
      <c r="F5" s="4"/>
      <c r="G5" s="4">
        <f>C5*E5</f>
        <v>54.5</v>
      </c>
    </row>
    <row r="6" spans="1:8" ht="45" x14ac:dyDescent="0.25">
      <c r="A6" s="7" t="s">
        <v>71</v>
      </c>
      <c r="B6" s="8">
        <f>'Kalkulierte Mannschaft'!G18</f>
        <v>0.11894765252118571</v>
      </c>
      <c r="C6" s="4"/>
      <c r="D6" s="4"/>
      <c r="E6" s="4"/>
      <c r="F6" s="4"/>
      <c r="G6" s="14">
        <f>G5*B6</f>
        <v>6.4826470624046211</v>
      </c>
    </row>
    <row r="7" spans="1:8" x14ac:dyDescent="0.25">
      <c r="A7" s="4" t="s">
        <v>46</v>
      </c>
      <c r="B7" s="4"/>
      <c r="C7" s="4"/>
      <c r="D7" s="4"/>
      <c r="E7" s="4"/>
      <c r="F7" s="4"/>
      <c r="G7" s="14">
        <f>SUM(G5:G6)</f>
        <v>60.982647062404624</v>
      </c>
    </row>
    <row r="8" spans="1:8" x14ac:dyDescent="0.25">
      <c r="A8" s="47" t="s">
        <v>72</v>
      </c>
      <c r="B8" s="47"/>
      <c r="C8" s="4"/>
      <c r="D8" s="4"/>
      <c r="E8" s="4"/>
      <c r="F8" s="4"/>
      <c r="G8" s="46">
        <f>G7/(40)</f>
        <v>1.5245661765601155</v>
      </c>
    </row>
    <row r="9" spans="1:8" x14ac:dyDescent="0.25">
      <c r="G9" s="11"/>
    </row>
    <row r="10" spans="1:8" x14ac:dyDescent="0.25">
      <c r="G10" s="48"/>
      <c r="H10" s="1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G13" sqref="G13"/>
    </sheetView>
  </sheetViews>
  <sheetFormatPr baseColWidth="10" defaultRowHeight="15" x14ac:dyDescent="0.25"/>
  <cols>
    <col min="1" max="1" width="18.140625" customWidth="1"/>
    <col min="2" max="2" width="12.42578125" customWidth="1"/>
    <col min="3" max="3" width="9.140625" customWidth="1"/>
    <col min="4" max="4" width="7.140625" customWidth="1"/>
    <col min="5" max="5" width="8.28515625" customWidth="1"/>
  </cols>
  <sheetData>
    <row r="1" spans="1:9" ht="15.75" x14ac:dyDescent="0.25">
      <c r="A1" s="2" t="s">
        <v>42</v>
      </c>
    </row>
    <row r="4" spans="1:9" s="3" customFormat="1" ht="45" x14ac:dyDescent="0.25">
      <c r="A4" s="6" t="s">
        <v>43</v>
      </c>
      <c r="B4" s="6" t="s">
        <v>44</v>
      </c>
      <c r="C4" s="6" t="s">
        <v>45</v>
      </c>
      <c r="D4" s="6" t="s">
        <v>34</v>
      </c>
      <c r="E4" s="6" t="s">
        <v>139</v>
      </c>
      <c r="F4" s="6" t="s">
        <v>140</v>
      </c>
      <c r="G4" s="6" t="s">
        <v>51</v>
      </c>
      <c r="H4" s="6" t="s">
        <v>48</v>
      </c>
      <c r="I4" s="6" t="s">
        <v>49</v>
      </c>
    </row>
    <row r="5" spans="1:9" x14ac:dyDescent="0.25">
      <c r="A5" s="13" t="s">
        <v>30</v>
      </c>
      <c r="B5" s="4" t="s">
        <v>50</v>
      </c>
      <c r="C5" s="5">
        <f>'K3'!D9</f>
        <v>0.14285714285714285</v>
      </c>
      <c r="D5" s="4">
        <v>1</v>
      </c>
      <c r="E5" s="4">
        <f>'KV2020'!C5</f>
        <v>16.53</v>
      </c>
      <c r="F5" s="14">
        <f>(D5*E5*(1+G5/100))</f>
        <v>18.513600000000004</v>
      </c>
      <c r="G5" s="4">
        <v>12</v>
      </c>
      <c r="H5" s="14">
        <f>E5*(G5/100)</f>
        <v>1.9836</v>
      </c>
      <c r="I5" s="14">
        <f>H5*D5</f>
        <v>1.9836</v>
      </c>
    </row>
    <row r="6" spans="1:9" x14ac:dyDescent="0.25">
      <c r="A6" s="13" t="s">
        <v>31</v>
      </c>
      <c r="B6" s="4" t="s">
        <v>50</v>
      </c>
      <c r="C6" s="5">
        <f>'K3'!E9</f>
        <v>0.14285714285714285</v>
      </c>
      <c r="D6" s="4">
        <v>1</v>
      </c>
      <c r="E6" s="4">
        <f>'KV2020'!C6</f>
        <v>15.05</v>
      </c>
      <c r="F6" s="14">
        <f>(D6*E6*(1+G6/100))</f>
        <v>16.254000000000001</v>
      </c>
      <c r="G6" s="4">
        <v>8</v>
      </c>
      <c r="H6" s="14">
        <f>F6*(G6/100)</f>
        <v>1.3003200000000001</v>
      </c>
      <c r="I6" s="14">
        <f t="shared" ref="I6:I9" si="0">H6*D6</f>
        <v>1.3003200000000001</v>
      </c>
    </row>
    <row r="7" spans="1:9" x14ac:dyDescent="0.25">
      <c r="A7" s="13" t="s">
        <v>30</v>
      </c>
      <c r="B7" s="4" t="s">
        <v>52</v>
      </c>
      <c r="C7" s="5">
        <f>'K3'!F9</f>
        <v>0.2857142857142857</v>
      </c>
      <c r="D7" s="4">
        <v>2</v>
      </c>
      <c r="E7" s="4">
        <f>'KV2020'!C12</f>
        <v>13.5</v>
      </c>
      <c r="F7" s="14">
        <f>(D7*E7*(1+G7/100))</f>
        <v>28.35</v>
      </c>
      <c r="G7" s="4">
        <v>5</v>
      </c>
      <c r="H7" s="14">
        <f>F7*(G7/100)</f>
        <v>1.4175000000000002</v>
      </c>
      <c r="I7" s="14">
        <f t="shared" si="0"/>
        <v>2.8350000000000004</v>
      </c>
    </row>
    <row r="8" spans="1:9" x14ac:dyDescent="0.25">
      <c r="A8" s="13" t="s">
        <v>10</v>
      </c>
      <c r="B8" s="4" t="s">
        <v>53</v>
      </c>
      <c r="C8" s="5">
        <f>'K3'!G9</f>
        <v>0.2857142857142857</v>
      </c>
      <c r="D8" s="4">
        <v>2</v>
      </c>
      <c r="E8" s="4">
        <f>'KV2020'!C13</f>
        <v>12.82</v>
      </c>
      <c r="F8" s="14">
        <f>(D8*E8*(1+G8/100))</f>
        <v>26.409200000000002</v>
      </c>
      <c r="G8" s="4">
        <v>3</v>
      </c>
      <c r="H8" s="14">
        <f>F8*(G8/100)</f>
        <v>0.79227599999999998</v>
      </c>
      <c r="I8" s="14">
        <f t="shared" si="0"/>
        <v>1.584552</v>
      </c>
    </row>
    <row r="9" spans="1:9" x14ac:dyDescent="0.25">
      <c r="A9" s="4" t="s">
        <v>12</v>
      </c>
      <c r="B9" s="4" t="s">
        <v>184</v>
      </c>
      <c r="C9" s="5">
        <f>'K3'!H9</f>
        <v>0.14285714285714285</v>
      </c>
      <c r="D9" s="4">
        <v>1</v>
      </c>
      <c r="E9" s="14">
        <f>'KV2020'!C17</f>
        <v>9.0299999999999994</v>
      </c>
      <c r="F9" s="14">
        <f>(D9*E9*(1+G9/100))</f>
        <v>9.0299999999999994</v>
      </c>
      <c r="G9" s="4">
        <v>0</v>
      </c>
      <c r="H9" s="14">
        <f t="shared" ref="H9" si="1">E9*(G9/100)</f>
        <v>0</v>
      </c>
      <c r="I9" s="14">
        <f t="shared" si="0"/>
        <v>0</v>
      </c>
    </row>
    <row r="10" spans="1:9" x14ac:dyDescent="0.25">
      <c r="C10" s="77"/>
      <c r="H10" s="11" t="s">
        <v>57</v>
      </c>
    </row>
    <row r="11" spans="1:9" ht="30" x14ac:dyDescent="0.25">
      <c r="A11" s="7" t="s">
        <v>54</v>
      </c>
      <c r="B11" s="4"/>
      <c r="C11" s="5">
        <f>SUM(C5:C9)</f>
        <v>1</v>
      </c>
      <c r="D11" s="4">
        <f>SUM(D5:D10)</f>
        <v>7</v>
      </c>
      <c r="E11" s="14">
        <f>F11/D11</f>
        <v>14.079542857142858</v>
      </c>
      <c r="F11" s="14">
        <f>SUM(F5:F10)</f>
        <v>98.55680000000001</v>
      </c>
      <c r="G11" s="4"/>
      <c r="H11" s="14" t="s">
        <v>57</v>
      </c>
      <c r="I11" s="14">
        <f>SUM(I5:I10)</f>
        <v>7.7034720000000014</v>
      </c>
    </row>
    <row r="12" spans="1:9" x14ac:dyDescent="0.25">
      <c r="A12" s="13" t="s">
        <v>55</v>
      </c>
      <c r="B12" s="4" t="s">
        <v>56</v>
      </c>
      <c r="C12" s="78">
        <f>(60/100)</f>
        <v>0.6</v>
      </c>
      <c r="D12" s="4">
        <v>1</v>
      </c>
      <c r="E12" s="4">
        <f>'KV2020'!C3</f>
        <v>16.989999999999998</v>
      </c>
      <c r="F12" s="14">
        <f>E12*(1+G12/100)*C12</f>
        <v>11.723099999999997</v>
      </c>
      <c r="G12" s="4">
        <v>15</v>
      </c>
      <c r="H12" s="14">
        <f>F12*G12/100</f>
        <v>1.7584649999999997</v>
      </c>
      <c r="I12" s="14">
        <f>H12*D12</f>
        <v>1.7584649999999997</v>
      </c>
    </row>
    <row r="13" spans="1:9" x14ac:dyDescent="0.25">
      <c r="A13" s="12"/>
    </row>
    <row r="14" spans="1:9" ht="30" x14ac:dyDescent="0.25">
      <c r="A14" s="15" t="s">
        <v>58</v>
      </c>
      <c r="B14" s="4"/>
      <c r="C14" s="4"/>
      <c r="D14" s="4"/>
      <c r="E14" s="4"/>
      <c r="F14" s="14">
        <f>SUM(F11:F12)</f>
        <v>110.27990000000001</v>
      </c>
      <c r="G14" s="4"/>
      <c r="H14" s="4"/>
      <c r="I14" s="14">
        <f>SUM(I11:I12)</f>
        <v>9.4619370000000007</v>
      </c>
    </row>
    <row r="15" spans="1:9" x14ac:dyDescent="0.25">
      <c r="A15" s="12"/>
    </row>
    <row r="16" spans="1:9" ht="30" x14ac:dyDescent="0.25">
      <c r="A16" s="13"/>
      <c r="B16" s="4"/>
      <c r="C16" s="4"/>
      <c r="D16" s="4"/>
      <c r="E16" s="4"/>
      <c r="F16" s="6" t="s">
        <v>129</v>
      </c>
      <c r="G16" s="4" t="s">
        <v>13</v>
      </c>
      <c r="H16" s="6" t="s">
        <v>59</v>
      </c>
    </row>
    <row r="17" spans="1:8" x14ac:dyDescent="0.25">
      <c r="A17" s="4" t="s">
        <v>15</v>
      </c>
      <c r="B17" s="4"/>
      <c r="C17" s="4" t="s">
        <v>60</v>
      </c>
      <c r="D17" s="4"/>
      <c r="E17" s="4"/>
      <c r="F17" s="4" t="s">
        <v>130</v>
      </c>
      <c r="G17" s="4"/>
      <c r="H17" s="14">
        <f>F11/D11</f>
        <v>14.079542857142858</v>
      </c>
    </row>
    <row r="18" spans="1:8" x14ac:dyDescent="0.25">
      <c r="A18" s="4" t="s">
        <v>61</v>
      </c>
      <c r="B18" s="4"/>
      <c r="C18" s="4"/>
      <c r="D18" s="4"/>
      <c r="E18" s="4"/>
      <c r="F18" s="4" t="s">
        <v>131</v>
      </c>
      <c r="G18" s="27">
        <f>F12/F11</f>
        <v>0.11894765252118571</v>
      </c>
      <c r="H18" s="14">
        <f>H17*G18</f>
        <v>1.6747285714285709</v>
      </c>
    </row>
    <row r="19" spans="1:8" x14ac:dyDescent="0.25">
      <c r="A19" s="4" t="s">
        <v>47</v>
      </c>
      <c r="B19" s="4"/>
      <c r="C19" s="4"/>
      <c r="D19" s="4"/>
      <c r="E19" s="4"/>
      <c r="F19" s="4" t="s">
        <v>132</v>
      </c>
      <c r="G19" s="49">
        <f>I14/F11</f>
        <v>9.6004912903016326E-2</v>
      </c>
      <c r="H19" s="14">
        <f>E11*G19</f>
        <v>1.3517052857142857</v>
      </c>
    </row>
    <row r="20" spans="1:8" x14ac:dyDescent="0.25">
      <c r="A20" s="4"/>
      <c r="B20" s="4"/>
      <c r="C20" s="4"/>
      <c r="D20" s="4"/>
      <c r="E20" s="4"/>
      <c r="F20" s="4"/>
      <c r="G20" s="4"/>
      <c r="H20" s="5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tabSelected="1" topLeftCell="A23" workbookViewId="0">
      <selection activeCell="J31" sqref="J31"/>
    </sheetView>
  </sheetViews>
  <sheetFormatPr baseColWidth="10" defaultRowHeight="15" x14ac:dyDescent="0.25"/>
  <cols>
    <col min="2" max="2" width="25.7109375" customWidth="1"/>
    <col min="3" max="3" width="14.140625" customWidth="1"/>
    <col min="4" max="4" width="17.7109375" customWidth="1"/>
    <col min="5" max="5" width="14.140625" customWidth="1"/>
    <col min="6" max="6" width="15.85546875" customWidth="1"/>
    <col min="7" max="7" width="14.42578125" customWidth="1"/>
  </cols>
  <sheetData>
    <row r="1" spans="1:12" x14ac:dyDescent="0.25">
      <c r="A1" s="144" t="s">
        <v>291</v>
      </c>
      <c r="B1" s="119"/>
      <c r="C1" s="119"/>
      <c r="D1" s="119"/>
      <c r="E1" s="119"/>
      <c r="F1" s="127"/>
      <c r="G1" s="115" t="s">
        <v>177</v>
      </c>
      <c r="H1" s="133"/>
      <c r="I1" s="134"/>
      <c r="J1" s="134"/>
      <c r="K1" s="134"/>
      <c r="L1" s="134"/>
    </row>
    <row r="2" spans="1:12" s="3" customFormat="1" ht="30.75" thickBot="1" x14ac:dyDescent="0.3">
      <c r="B2" s="139"/>
      <c r="C2" s="139" t="s">
        <v>292</v>
      </c>
      <c r="D2" s="139" t="s">
        <v>293</v>
      </c>
      <c r="E2" s="139" t="s">
        <v>294</v>
      </c>
      <c r="F2" s="140" t="s">
        <v>96</v>
      </c>
      <c r="G2" s="141"/>
      <c r="H2" s="142"/>
      <c r="I2" s="143" t="s">
        <v>302</v>
      </c>
      <c r="J2" s="143" t="s">
        <v>293</v>
      </c>
      <c r="K2" s="143" t="s">
        <v>303</v>
      </c>
      <c r="L2" s="143" t="s">
        <v>96</v>
      </c>
    </row>
    <row r="3" spans="1:12" ht="50.25" thickBot="1" x14ac:dyDescent="0.3">
      <c r="B3" s="120" t="s">
        <v>141</v>
      </c>
      <c r="C3" s="122">
        <v>16.989999999999998</v>
      </c>
      <c r="D3" s="120">
        <v>2879.81</v>
      </c>
      <c r="E3" s="120">
        <v>35.51</v>
      </c>
      <c r="F3" s="128">
        <v>69.52</v>
      </c>
      <c r="G3" s="115"/>
      <c r="H3" s="135" t="s">
        <v>141</v>
      </c>
      <c r="I3" s="117">
        <v>16.57</v>
      </c>
      <c r="J3" s="117" t="s">
        <v>142</v>
      </c>
      <c r="K3" s="117">
        <v>34.630000000000003</v>
      </c>
      <c r="L3" s="117">
        <v>67.8</v>
      </c>
    </row>
    <row r="4" spans="1:12" ht="50.25" thickBot="1" x14ac:dyDescent="0.3">
      <c r="B4" s="120" t="s">
        <v>143</v>
      </c>
      <c r="C4" s="123"/>
      <c r="D4" s="120"/>
      <c r="E4" s="120"/>
      <c r="F4" s="128"/>
      <c r="G4" s="115"/>
      <c r="H4" s="135" t="s">
        <v>143</v>
      </c>
      <c r="I4" s="117"/>
      <c r="J4" s="117"/>
      <c r="K4" s="117"/>
      <c r="L4" s="117"/>
    </row>
    <row r="5" spans="1:12" ht="17.25" thickBot="1" x14ac:dyDescent="0.3">
      <c r="B5" s="120" t="s">
        <v>144</v>
      </c>
      <c r="C5" s="122">
        <v>16.53</v>
      </c>
      <c r="D5" s="120">
        <v>2801.84</v>
      </c>
      <c r="E5" s="120">
        <v>34.549999999999997</v>
      </c>
      <c r="F5" s="128">
        <v>67.64</v>
      </c>
      <c r="G5" s="115"/>
      <c r="H5" s="136" t="s">
        <v>144</v>
      </c>
      <c r="I5" s="117">
        <v>16.12</v>
      </c>
      <c r="J5" s="117" t="s">
        <v>145</v>
      </c>
      <c r="K5" s="117">
        <v>33.69</v>
      </c>
      <c r="L5" s="117">
        <v>65.959999999999994</v>
      </c>
    </row>
    <row r="6" spans="1:12" ht="17.25" thickBot="1" x14ac:dyDescent="0.3">
      <c r="B6" s="120" t="s">
        <v>146</v>
      </c>
      <c r="C6" s="122">
        <v>15.05</v>
      </c>
      <c r="D6" s="120">
        <v>2550.98</v>
      </c>
      <c r="E6" s="120">
        <v>31.45</v>
      </c>
      <c r="F6" s="128">
        <v>61.58</v>
      </c>
      <c r="G6" s="115"/>
      <c r="H6" s="136" t="s">
        <v>146</v>
      </c>
      <c r="I6" s="117">
        <v>14.68</v>
      </c>
      <c r="J6" s="117" t="s">
        <v>147</v>
      </c>
      <c r="K6" s="117">
        <v>30.68</v>
      </c>
      <c r="L6" s="117">
        <v>60.07</v>
      </c>
    </row>
    <row r="7" spans="1:12" ht="83.25" thickBot="1" x14ac:dyDescent="0.3">
      <c r="B7" s="120" t="s">
        <v>148</v>
      </c>
      <c r="C7" s="122"/>
      <c r="D7" s="120"/>
      <c r="E7" s="120"/>
      <c r="F7" s="128"/>
      <c r="G7" s="115"/>
      <c r="H7" s="135" t="s">
        <v>148</v>
      </c>
      <c r="I7" s="116"/>
      <c r="J7" s="116"/>
      <c r="K7" s="116"/>
      <c r="L7" s="116"/>
    </row>
    <row r="8" spans="1:12" ht="17.25" thickBot="1" x14ac:dyDescent="0.3">
      <c r="B8" s="120" t="s">
        <v>144</v>
      </c>
      <c r="C8" s="122">
        <v>15.04</v>
      </c>
      <c r="D8" s="120">
        <v>2549.2800000000002</v>
      </c>
      <c r="E8" s="120">
        <v>31.43</v>
      </c>
      <c r="F8" s="128">
        <v>51.54</v>
      </c>
      <c r="G8" s="115"/>
      <c r="H8" s="136" t="s">
        <v>144</v>
      </c>
      <c r="I8" s="117">
        <v>14.67</v>
      </c>
      <c r="J8" s="117" t="s">
        <v>149</v>
      </c>
      <c r="K8" s="117">
        <v>30.66</v>
      </c>
      <c r="L8" s="117">
        <v>60.03</v>
      </c>
    </row>
    <row r="9" spans="1:12" ht="17.25" thickBot="1" x14ac:dyDescent="0.3">
      <c r="B9" s="120" t="s">
        <v>146</v>
      </c>
      <c r="C9" s="122">
        <v>14.7</v>
      </c>
      <c r="D9" s="120">
        <v>2491.65</v>
      </c>
      <c r="E9" s="120">
        <v>30.72</v>
      </c>
      <c r="F9" s="128">
        <v>60.15</v>
      </c>
      <c r="G9" s="115"/>
      <c r="H9" s="136" t="s">
        <v>146</v>
      </c>
      <c r="I9" s="117">
        <v>14.33</v>
      </c>
      <c r="J9" s="117" t="s">
        <v>150</v>
      </c>
      <c r="K9" s="117">
        <v>29.95</v>
      </c>
      <c r="L9" s="117">
        <v>58.64</v>
      </c>
    </row>
    <row r="10" spans="1:12" ht="17.25" thickBot="1" x14ac:dyDescent="0.3">
      <c r="B10" s="120" t="s">
        <v>151</v>
      </c>
      <c r="C10" s="122">
        <v>14.37</v>
      </c>
      <c r="D10" s="120">
        <v>2435.7199999999998</v>
      </c>
      <c r="E10" s="120">
        <v>30.03</v>
      </c>
      <c r="F10" s="128">
        <v>58.8</v>
      </c>
      <c r="G10" s="115"/>
      <c r="H10" s="136" t="s">
        <v>151</v>
      </c>
      <c r="I10" s="117">
        <v>14.01</v>
      </c>
      <c r="J10" s="117" t="s">
        <v>152</v>
      </c>
      <c r="K10" s="117">
        <v>29.28</v>
      </c>
      <c r="L10" s="117">
        <v>57.33</v>
      </c>
    </row>
    <row r="11" spans="1:12" ht="17.25" thickBot="1" x14ac:dyDescent="0.3">
      <c r="B11" s="120" t="s">
        <v>153</v>
      </c>
      <c r="C11" s="122">
        <v>14</v>
      </c>
      <c r="D11" s="120">
        <v>2373</v>
      </c>
      <c r="E11" s="120">
        <v>29.26</v>
      </c>
      <c r="F11" s="128">
        <v>57.29</v>
      </c>
      <c r="G11" s="115"/>
      <c r="H11" s="136" t="s">
        <v>153</v>
      </c>
      <c r="I11" s="117">
        <v>13.65</v>
      </c>
      <c r="J11" s="117" t="s">
        <v>154</v>
      </c>
      <c r="K11" s="117">
        <v>28.53</v>
      </c>
      <c r="L11" s="117">
        <v>55.86</v>
      </c>
    </row>
    <row r="12" spans="1:12" ht="17.25" thickBot="1" x14ac:dyDescent="0.3">
      <c r="B12" s="120" t="s">
        <v>155</v>
      </c>
      <c r="C12" s="122">
        <v>13.5</v>
      </c>
      <c r="D12" s="120">
        <v>2288.25</v>
      </c>
      <c r="E12" s="120">
        <v>28.22</v>
      </c>
      <c r="F12" s="128">
        <v>55.24</v>
      </c>
      <c r="G12" s="115"/>
      <c r="H12" s="136" t="s">
        <v>155</v>
      </c>
      <c r="I12" s="117">
        <v>13.16</v>
      </c>
      <c r="J12" s="117" t="s">
        <v>156</v>
      </c>
      <c r="K12" s="117">
        <v>27.5</v>
      </c>
      <c r="L12" s="117">
        <v>53.85</v>
      </c>
    </row>
    <row r="13" spans="1:12" ht="50.25" thickBot="1" x14ac:dyDescent="0.3">
      <c r="B13" s="120" t="s">
        <v>157</v>
      </c>
      <c r="C13" s="122">
        <v>12.82</v>
      </c>
      <c r="D13" s="120">
        <v>2172.9899999999998</v>
      </c>
      <c r="E13" s="120">
        <v>26.79</v>
      </c>
      <c r="F13" s="128">
        <v>52.46</v>
      </c>
      <c r="G13" s="115"/>
      <c r="H13" s="135" t="s">
        <v>157</v>
      </c>
      <c r="I13" s="117">
        <v>12.5</v>
      </c>
      <c r="J13" s="117" t="s">
        <v>158</v>
      </c>
      <c r="K13" s="117">
        <v>26.13</v>
      </c>
      <c r="L13" s="117">
        <v>51.15</v>
      </c>
    </row>
    <row r="14" spans="1:12" ht="66.75" thickBot="1" x14ac:dyDescent="0.3">
      <c r="B14" s="120" t="s">
        <v>159</v>
      </c>
      <c r="C14" s="122">
        <v>11.75</v>
      </c>
      <c r="D14" s="120">
        <v>1991.63</v>
      </c>
      <c r="E14" s="120">
        <v>24.56</v>
      </c>
      <c r="F14" s="128">
        <v>48.08</v>
      </c>
      <c r="G14" s="115"/>
      <c r="H14" s="135" t="s">
        <v>159</v>
      </c>
      <c r="I14" s="117">
        <v>11.46</v>
      </c>
      <c r="J14" s="117" t="s">
        <v>160</v>
      </c>
      <c r="K14" s="117">
        <v>23.95</v>
      </c>
      <c r="L14" s="117">
        <v>46.89</v>
      </c>
    </row>
    <row r="15" spans="1:12" ht="17.25" thickBot="1" x14ac:dyDescent="0.3">
      <c r="B15" s="120" t="s">
        <v>161</v>
      </c>
      <c r="C15" s="123"/>
      <c r="D15" s="120"/>
      <c r="E15" s="120"/>
      <c r="F15" s="128"/>
      <c r="G15" s="115"/>
      <c r="H15" s="147" t="s">
        <v>161</v>
      </c>
      <c r="I15" s="148"/>
      <c r="J15" s="148"/>
      <c r="K15" s="148"/>
      <c r="L15" s="148"/>
    </row>
    <row r="16" spans="1:12" ht="17.25" thickBot="1" x14ac:dyDescent="0.3">
      <c r="B16" s="120" t="s">
        <v>144</v>
      </c>
      <c r="C16" s="122">
        <v>6.02</v>
      </c>
      <c r="D16" s="120">
        <v>1020.39</v>
      </c>
      <c r="E16" s="120"/>
      <c r="F16" s="128">
        <v>20.53</v>
      </c>
      <c r="G16" s="115"/>
      <c r="H16" s="136" t="s">
        <v>144</v>
      </c>
      <c r="I16" s="117">
        <v>5.87</v>
      </c>
      <c r="J16" s="117">
        <v>994.97</v>
      </c>
      <c r="K16" s="117"/>
      <c r="L16" s="117">
        <v>20.02</v>
      </c>
    </row>
    <row r="17" spans="2:12" ht="17.25" thickBot="1" x14ac:dyDescent="0.3">
      <c r="B17" s="120" t="s">
        <v>146</v>
      </c>
      <c r="C17" s="122">
        <v>9.0299999999999994</v>
      </c>
      <c r="D17" s="120">
        <v>1530.59</v>
      </c>
      <c r="E17" s="120"/>
      <c r="F17" s="128">
        <v>30.79</v>
      </c>
      <c r="G17" s="115"/>
      <c r="H17" s="136" t="s">
        <v>146</v>
      </c>
      <c r="I17" s="117">
        <v>8.81</v>
      </c>
      <c r="J17" s="117" t="s">
        <v>162</v>
      </c>
      <c r="K17" s="117"/>
      <c r="L17" s="117">
        <v>30.04</v>
      </c>
    </row>
    <row r="18" spans="2:12" ht="17.25" thickBot="1" x14ac:dyDescent="0.3">
      <c r="B18" s="120" t="s">
        <v>151</v>
      </c>
      <c r="C18" s="122">
        <v>12.04</v>
      </c>
      <c r="D18" s="120">
        <v>2040.78</v>
      </c>
      <c r="E18" s="120"/>
      <c r="F18" s="128">
        <v>41.06</v>
      </c>
      <c r="G18" s="115"/>
      <c r="H18" s="136" t="s">
        <v>151</v>
      </c>
      <c r="I18" s="117">
        <v>11.74</v>
      </c>
      <c r="J18" s="117" t="s">
        <v>163</v>
      </c>
      <c r="K18" s="117"/>
      <c r="L18" s="117">
        <v>40.03</v>
      </c>
    </row>
    <row r="19" spans="2:12" ht="17.25" thickBot="1" x14ac:dyDescent="0.3">
      <c r="B19" s="120" t="s">
        <v>153</v>
      </c>
      <c r="C19" s="122">
        <v>13.55</v>
      </c>
      <c r="D19" s="120">
        <v>2296.73</v>
      </c>
      <c r="E19" s="120"/>
      <c r="F19" s="128">
        <v>46.21</v>
      </c>
      <c r="G19" s="115"/>
      <c r="H19" s="136" t="s">
        <v>153</v>
      </c>
      <c r="I19" s="117">
        <v>13.21</v>
      </c>
      <c r="J19" s="117" t="s">
        <v>164</v>
      </c>
      <c r="K19" s="117"/>
      <c r="L19" s="117">
        <v>45.05</v>
      </c>
    </row>
    <row r="20" spans="2:12" ht="17.25" thickBot="1" x14ac:dyDescent="0.3">
      <c r="B20" s="120" t="s">
        <v>155</v>
      </c>
      <c r="C20" s="122">
        <v>12.04</v>
      </c>
      <c r="D20" s="120">
        <v>2040.78</v>
      </c>
      <c r="E20" s="120"/>
      <c r="F20" s="128">
        <v>41.06</v>
      </c>
      <c r="G20" s="115"/>
      <c r="H20" s="136" t="s">
        <v>155</v>
      </c>
      <c r="I20" s="117">
        <v>11.74</v>
      </c>
      <c r="J20" s="117" t="s">
        <v>163</v>
      </c>
      <c r="K20" s="117"/>
      <c r="L20" s="117">
        <v>40.03</v>
      </c>
    </row>
    <row r="21" spans="2:12" ht="17.25" thickBot="1" x14ac:dyDescent="0.3">
      <c r="B21" s="120" t="s">
        <v>165</v>
      </c>
      <c r="C21" s="124"/>
      <c r="D21" s="120"/>
      <c r="E21" s="120"/>
      <c r="F21" s="128"/>
      <c r="G21" s="115"/>
      <c r="H21" s="147" t="s">
        <v>165</v>
      </c>
      <c r="I21" s="148"/>
      <c r="J21" s="148"/>
      <c r="K21" s="148"/>
      <c r="L21" s="148"/>
    </row>
    <row r="22" spans="2:12" ht="17.25" thickBot="1" x14ac:dyDescent="0.3">
      <c r="B22" s="120" t="s">
        <v>144</v>
      </c>
      <c r="C22" s="120">
        <v>4.5199999999999996</v>
      </c>
      <c r="D22" s="120">
        <v>766.14</v>
      </c>
      <c r="E22" s="120"/>
      <c r="F22" s="128">
        <v>18.5</v>
      </c>
      <c r="G22" s="115"/>
      <c r="H22" s="136" t="s">
        <v>144</v>
      </c>
      <c r="I22" s="117">
        <v>4.4000000000000004</v>
      </c>
      <c r="J22" s="117">
        <v>745.8</v>
      </c>
      <c r="K22" s="117"/>
      <c r="L22" s="117">
        <v>18</v>
      </c>
    </row>
    <row r="23" spans="2:12" ht="17.25" thickBot="1" x14ac:dyDescent="0.3">
      <c r="B23" s="120" t="s">
        <v>146</v>
      </c>
      <c r="C23" s="120">
        <v>7.53</v>
      </c>
      <c r="D23" s="120">
        <v>1276.3399999999999</v>
      </c>
      <c r="E23" s="120"/>
      <c r="F23" s="128">
        <v>30.81</v>
      </c>
      <c r="G23" s="115"/>
      <c r="H23" s="136" t="s">
        <v>146</v>
      </c>
      <c r="I23" s="117">
        <v>7.34</v>
      </c>
      <c r="J23" s="117" t="s">
        <v>166</v>
      </c>
      <c r="K23" s="117"/>
      <c r="L23" s="117">
        <v>30.04</v>
      </c>
    </row>
    <row r="24" spans="2:12" ht="33" x14ac:dyDescent="0.25">
      <c r="B24" s="121" t="s">
        <v>167</v>
      </c>
      <c r="C24" s="121">
        <v>11.85</v>
      </c>
      <c r="D24" s="121"/>
      <c r="E24" s="121"/>
      <c r="F24" s="129"/>
      <c r="G24" s="115"/>
      <c r="H24" s="137" t="s">
        <v>167</v>
      </c>
      <c r="I24" s="149">
        <v>11.56</v>
      </c>
      <c r="J24" s="149"/>
      <c r="K24" s="149"/>
      <c r="L24" s="149"/>
    </row>
    <row r="25" spans="2:12" ht="33.75" thickBot="1" x14ac:dyDescent="0.3">
      <c r="B25" s="124" t="s">
        <v>168</v>
      </c>
      <c r="C25" s="124"/>
      <c r="D25" s="124"/>
      <c r="E25" s="124"/>
      <c r="F25" s="130"/>
      <c r="G25" s="115"/>
      <c r="H25" s="138" t="s">
        <v>168</v>
      </c>
      <c r="I25" s="150"/>
      <c r="J25" s="150"/>
      <c r="K25" s="150"/>
      <c r="L25" s="150"/>
    </row>
    <row r="26" spans="2:12" ht="33.75" thickBot="1" x14ac:dyDescent="0.3">
      <c r="B26" s="125" t="s">
        <v>169</v>
      </c>
      <c r="C26" s="125"/>
      <c r="D26" s="125"/>
      <c r="E26" s="125"/>
      <c r="F26" s="131"/>
      <c r="G26" s="115"/>
      <c r="H26" s="145" t="s">
        <v>169</v>
      </c>
      <c r="I26" s="146"/>
      <c r="J26" s="146"/>
      <c r="K26" s="146"/>
      <c r="L26" s="146"/>
    </row>
    <row r="27" spans="2:12" ht="33.75" thickBot="1" x14ac:dyDescent="0.3">
      <c r="B27" s="120" t="s">
        <v>170</v>
      </c>
      <c r="C27" s="120">
        <v>10.9</v>
      </c>
      <c r="D27" s="120" t="s">
        <v>171</v>
      </c>
      <c r="E27" s="120"/>
      <c r="F27" s="128"/>
      <c r="G27" s="115"/>
      <c r="H27" s="136" t="s">
        <v>170</v>
      </c>
      <c r="I27" s="117">
        <v>10.7</v>
      </c>
      <c r="J27" s="117" t="s">
        <v>171</v>
      </c>
      <c r="K27" s="117"/>
      <c r="L27" s="117"/>
    </row>
    <row r="28" spans="2:12" ht="33.75" thickBot="1" x14ac:dyDescent="0.3">
      <c r="B28" s="120" t="s">
        <v>172</v>
      </c>
      <c r="C28" s="120">
        <v>17.5</v>
      </c>
      <c r="D28" s="120" t="s">
        <v>171</v>
      </c>
      <c r="E28" s="120"/>
      <c r="F28" s="128"/>
      <c r="G28" s="115"/>
      <c r="H28" s="136" t="s">
        <v>172</v>
      </c>
      <c r="I28" s="117">
        <v>17.2</v>
      </c>
      <c r="J28" s="117" t="s">
        <v>171</v>
      </c>
      <c r="K28" s="117"/>
      <c r="L28" s="117"/>
    </row>
    <row r="29" spans="2:12" ht="50.25" thickBot="1" x14ac:dyDescent="0.3">
      <c r="B29" s="120" t="s">
        <v>173</v>
      </c>
      <c r="C29" s="120">
        <v>29</v>
      </c>
      <c r="D29" s="120" t="s">
        <v>171</v>
      </c>
      <c r="E29" s="120"/>
      <c r="F29" s="128"/>
      <c r="G29" s="115"/>
      <c r="H29" s="136" t="s">
        <v>173</v>
      </c>
      <c r="I29" s="117">
        <v>28.5</v>
      </c>
      <c r="J29" s="117" t="s">
        <v>171</v>
      </c>
      <c r="K29" s="117"/>
      <c r="L29" s="117"/>
    </row>
    <row r="30" spans="2:12" ht="33.75" thickBot="1" x14ac:dyDescent="0.3">
      <c r="B30" s="120" t="s">
        <v>174</v>
      </c>
      <c r="C30" s="120">
        <v>13.45</v>
      </c>
      <c r="D30" s="120" t="s">
        <v>175</v>
      </c>
      <c r="E30" s="120" t="s">
        <v>295</v>
      </c>
      <c r="F30" s="132">
        <v>1.4999999999999999E-2</v>
      </c>
      <c r="G30" s="115"/>
      <c r="H30" s="136" t="s">
        <v>174</v>
      </c>
      <c r="I30" s="117">
        <v>13.25</v>
      </c>
      <c r="J30" s="117" t="s">
        <v>304</v>
      </c>
      <c r="K30" s="117" t="s">
        <v>176</v>
      </c>
      <c r="L30" s="118">
        <v>0.02</v>
      </c>
    </row>
    <row r="34" spans="4:4" x14ac:dyDescent="0.25">
      <c r="D34" s="126"/>
    </row>
  </sheetData>
  <mergeCells count="7">
    <mergeCell ref="H26:L26"/>
    <mergeCell ref="H15:L15"/>
    <mergeCell ref="H21:L21"/>
    <mergeCell ref="I24:I25"/>
    <mergeCell ref="J24:J25"/>
    <mergeCell ref="K24:K25"/>
    <mergeCell ref="L24:L2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>
      <selection activeCell="A11" sqref="A11:C21"/>
    </sheetView>
  </sheetViews>
  <sheetFormatPr baseColWidth="10" defaultRowHeight="15" x14ac:dyDescent="0.25"/>
  <cols>
    <col min="1" max="1" width="25.5703125" customWidth="1"/>
  </cols>
  <sheetData>
    <row r="1" spans="1:7" ht="15.75" x14ac:dyDescent="0.25">
      <c r="A1" s="2" t="s">
        <v>32</v>
      </c>
    </row>
    <row r="3" spans="1:7" s="9" customFormat="1" ht="45" x14ac:dyDescent="0.25">
      <c r="A3" s="66" t="s">
        <v>33</v>
      </c>
      <c r="B3" s="67" t="s">
        <v>35</v>
      </c>
      <c r="C3" s="67" t="s">
        <v>36</v>
      </c>
      <c r="D3" s="67" t="s">
        <v>41</v>
      </c>
      <c r="E3" s="67" t="s">
        <v>137</v>
      </c>
      <c r="F3" s="67" t="s">
        <v>39</v>
      </c>
      <c r="G3" s="67" t="s">
        <v>40</v>
      </c>
    </row>
    <row r="4" spans="1:7" x14ac:dyDescent="0.25">
      <c r="A4" s="68" t="s">
        <v>37</v>
      </c>
      <c r="B4" s="68">
        <v>39</v>
      </c>
      <c r="C4" s="68"/>
      <c r="D4" s="68"/>
      <c r="E4" s="68"/>
      <c r="F4" s="68"/>
      <c r="G4" s="68"/>
    </row>
    <row r="5" spans="1:7" x14ac:dyDescent="0.25">
      <c r="A5" s="68" t="s">
        <v>38</v>
      </c>
      <c r="B5" s="68">
        <v>5</v>
      </c>
      <c r="C5" s="68"/>
      <c r="D5" s="68">
        <v>50</v>
      </c>
      <c r="E5" s="68">
        <v>1.3</v>
      </c>
      <c r="F5" s="68">
        <f>'K3'!G11</f>
        <v>14.079542857142858</v>
      </c>
      <c r="G5" s="69">
        <f>F5*(1+0.5*1.3)</f>
        <v>23.231245714285713</v>
      </c>
    </row>
    <row r="6" spans="1:7" x14ac:dyDescent="0.25">
      <c r="A6" s="68" t="s">
        <v>138</v>
      </c>
      <c r="B6" s="68"/>
      <c r="C6" s="68"/>
      <c r="D6" s="68"/>
      <c r="E6" s="68"/>
      <c r="F6" s="68"/>
      <c r="G6" s="69">
        <f>(39*F5+B5*G5)/(B4+B5)</f>
        <v>15.119509090909089</v>
      </c>
    </row>
    <row r="7" spans="1:7" x14ac:dyDescent="0.25">
      <c r="A7" s="68" t="s">
        <v>136</v>
      </c>
      <c r="B7" s="68"/>
      <c r="C7" s="68"/>
      <c r="D7" s="68"/>
      <c r="E7" s="68"/>
      <c r="F7" s="70">
        <f>(G6-F5)/F5</f>
        <v>7.3863636363636159E-2</v>
      </c>
      <c r="G7" s="69">
        <f>F5*F7</f>
        <v>1.039966233766231</v>
      </c>
    </row>
    <row r="10" spans="1:7" ht="15.75" x14ac:dyDescent="0.25">
      <c r="A10" s="2" t="s">
        <v>73</v>
      </c>
      <c r="C10" t="s">
        <v>83</v>
      </c>
    </row>
    <row r="11" spans="1:7" x14ac:dyDescent="0.25">
      <c r="A11" s="62" t="s">
        <v>74</v>
      </c>
      <c r="B11" s="63"/>
      <c r="C11" s="64">
        <v>0.03</v>
      </c>
    </row>
    <row r="12" spans="1:7" x14ac:dyDescent="0.25">
      <c r="A12" s="62" t="s">
        <v>75</v>
      </c>
      <c r="B12" s="63"/>
      <c r="C12" s="65">
        <v>3.5000000000000001E-3</v>
      </c>
    </row>
    <row r="13" spans="1:7" ht="30" x14ac:dyDescent="0.25">
      <c r="A13" s="62" t="s">
        <v>76</v>
      </c>
      <c r="B13" s="63"/>
      <c r="C13" s="65">
        <v>0.1255</v>
      </c>
    </row>
    <row r="14" spans="1:7" x14ac:dyDescent="0.25">
      <c r="A14" s="62" t="s">
        <v>77</v>
      </c>
      <c r="B14" s="63"/>
      <c r="C14" s="65">
        <v>3.78E-2</v>
      </c>
    </row>
    <row r="15" spans="1:7" x14ac:dyDescent="0.25">
      <c r="A15" s="62" t="s">
        <v>78</v>
      </c>
      <c r="B15" s="63"/>
      <c r="C15" s="65">
        <v>1.2E-2</v>
      </c>
    </row>
    <row r="16" spans="1:7" ht="45" x14ac:dyDescent="0.25">
      <c r="A16" s="62" t="s">
        <v>81</v>
      </c>
      <c r="B16" s="63"/>
      <c r="C16" s="65">
        <v>3.9E-2</v>
      </c>
    </row>
    <row r="17" spans="1:3" x14ac:dyDescent="0.25">
      <c r="A17" s="62" t="s">
        <v>178</v>
      </c>
      <c r="B17" s="63"/>
      <c r="C17" s="65">
        <v>4.0000000000000001E-3</v>
      </c>
    </row>
    <row r="18" spans="1:3" ht="30" x14ac:dyDescent="0.25">
      <c r="A18" s="62" t="s">
        <v>79</v>
      </c>
      <c r="B18" s="63"/>
      <c r="C18" s="65">
        <v>5.0000000000000001E-3</v>
      </c>
    </row>
    <row r="19" spans="1:3" ht="30" x14ac:dyDescent="0.25">
      <c r="A19" s="62" t="s">
        <v>82</v>
      </c>
      <c r="B19" s="63"/>
      <c r="C19" s="65">
        <v>7.0000000000000001E-3</v>
      </c>
    </row>
    <row r="20" spans="1:3" ht="30" x14ac:dyDescent="0.25">
      <c r="A20" s="62" t="s">
        <v>80</v>
      </c>
      <c r="B20" s="63"/>
      <c r="C20" s="65">
        <v>1.5299999999999999E-2</v>
      </c>
    </row>
    <row r="21" spans="1:3" x14ac:dyDescent="0.25">
      <c r="A21" s="62" t="s">
        <v>46</v>
      </c>
      <c r="B21" s="63"/>
      <c r="C21" s="65">
        <f>SUM(C11:C20)</f>
        <v>0.27910000000000001</v>
      </c>
    </row>
    <row r="22" spans="1:3" x14ac:dyDescent="0.25">
      <c r="A22" s="63"/>
      <c r="B22" s="63"/>
      <c r="C22" s="6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workbookViewId="0">
      <selection activeCell="C2" sqref="C2"/>
    </sheetView>
  </sheetViews>
  <sheetFormatPr baseColWidth="10" defaultRowHeight="15" x14ac:dyDescent="0.25"/>
  <cols>
    <col min="1" max="1" width="5.42578125" customWidth="1"/>
    <col min="2" max="2" width="25.85546875" customWidth="1"/>
    <col min="5" max="5" width="7.42578125" customWidth="1"/>
    <col min="6" max="6" width="11.85546875" bestFit="1" customWidth="1"/>
    <col min="7" max="7" width="7.42578125" customWidth="1"/>
    <col min="8" max="8" width="8.42578125" customWidth="1"/>
    <col min="9" max="9" width="6" customWidth="1"/>
  </cols>
  <sheetData>
    <row r="1" spans="1:12" ht="46.5" customHeight="1" x14ac:dyDescent="0.35">
      <c r="A1" s="88" t="s">
        <v>57</v>
      </c>
      <c r="B1" s="90" t="s">
        <v>201</v>
      </c>
      <c r="C1" s="151" t="s">
        <v>300</v>
      </c>
      <c r="D1" s="151"/>
      <c r="E1" s="151" t="s">
        <v>238</v>
      </c>
      <c r="F1" s="151"/>
      <c r="G1" s="3"/>
      <c r="H1" s="152" t="s">
        <v>199</v>
      </c>
      <c r="I1" s="152"/>
      <c r="J1" s="152"/>
    </row>
    <row r="2" spans="1:12" x14ac:dyDescent="0.25">
      <c r="A2" t="s">
        <v>202</v>
      </c>
      <c r="B2" t="s">
        <v>298</v>
      </c>
      <c r="C2" t="s">
        <v>299</v>
      </c>
      <c r="G2" s="91">
        <v>44044</v>
      </c>
      <c r="I2" t="s">
        <v>288</v>
      </c>
    </row>
    <row r="3" spans="1:12" x14ac:dyDescent="0.25">
      <c r="A3" s="82"/>
      <c r="B3" s="83"/>
      <c r="C3" s="83"/>
      <c r="D3" s="83"/>
      <c r="E3" s="83"/>
      <c r="F3" s="83" t="s">
        <v>290</v>
      </c>
    </row>
    <row r="4" spans="1:12" ht="45" x14ac:dyDescent="0.25">
      <c r="A4" s="92" t="s">
        <v>203</v>
      </c>
      <c r="B4" s="93" t="s">
        <v>204</v>
      </c>
      <c r="C4" s="6" t="s">
        <v>200</v>
      </c>
      <c r="D4" s="6" t="s">
        <v>209</v>
      </c>
      <c r="E4" s="94" t="s">
        <v>205</v>
      </c>
      <c r="F4" s="6" t="s">
        <v>208</v>
      </c>
      <c r="G4" s="94" t="s">
        <v>289</v>
      </c>
      <c r="H4" s="94" t="s">
        <v>206</v>
      </c>
      <c r="I4" s="94" t="s">
        <v>213</v>
      </c>
      <c r="J4" s="94" t="s">
        <v>207</v>
      </c>
      <c r="K4" s="94" t="s">
        <v>240</v>
      </c>
      <c r="L4" s="94" t="s">
        <v>212</v>
      </c>
    </row>
    <row r="5" spans="1:12" x14ac:dyDescent="0.25">
      <c r="A5" s="96" t="s">
        <v>210</v>
      </c>
      <c r="B5" s="4" t="s">
        <v>220</v>
      </c>
      <c r="C5" s="4" t="s">
        <v>211</v>
      </c>
      <c r="D5" s="4">
        <v>89</v>
      </c>
      <c r="E5" s="4">
        <v>15</v>
      </c>
      <c r="F5" s="106">
        <f>D5+E5</f>
        <v>104</v>
      </c>
      <c r="G5" s="4"/>
      <c r="H5" s="4"/>
      <c r="I5" s="4"/>
      <c r="J5" s="106">
        <f t="shared" ref="J5:J15" si="0">F5+G5+H5</f>
        <v>104</v>
      </c>
      <c r="K5" s="106">
        <f t="shared" ref="K5:K15" si="1">J5*0.25</f>
        <v>26</v>
      </c>
      <c r="L5" s="106">
        <f t="shared" ref="L5:L15" si="2">J5+K5</f>
        <v>130</v>
      </c>
    </row>
    <row r="6" spans="1:12" x14ac:dyDescent="0.25">
      <c r="A6" s="96" t="s">
        <v>214</v>
      </c>
      <c r="B6" s="4" t="s">
        <v>219</v>
      </c>
      <c r="C6" s="4" t="s">
        <v>229</v>
      </c>
      <c r="D6" s="4">
        <v>1188</v>
      </c>
      <c r="E6" s="4">
        <v>12</v>
      </c>
      <c r="F6" s="106">
        <f>D6+E6</f>
        <v>1200</v>
      </c>
      <c r="G6" s="4"/>
      <c r="H6" s="4"/>
      <c r="I6" s="4"/>
      <c r="J6" s="106">
        <f t="shared" si="0"/>
        <v>1200</v>
      </c>
      <c r="K6" s="106">
        <f t="shared" si="1"/>
        <v>300</v>
      </c>
      <c r="L6" s="106">
        <f t="shared" si="2"/>
        <v>1500</v>
      </c>
    </row>
    <row r="7" spans="1:12" x14ac:dyDescent="0.25">
      <c r="A7" s="96" t="s">
        <v>215</v>
      </c>
      <c r="B7" s="95" t="s">
        <v>221</v>
      </c>
      <c r="C7" s="95" t="s">
        <v>229</v>
      </c>
      <c r="D7" s="4">
        <v>1398</v>
      </c>
      <c r="E7" s="4">
        <v>11</v>
      </c>
      <c r="F7" s="106">
        <f>D7+E7</f>
        <v>1409</v>
      </c>
      <c r="G7" s="4"/>
      <c r="H7" s="4"/>
      <c r="I7" s="4"/>
      <c r="J7" s="106">
        <f t="shared" si="0"/>
        <v>1409</v>
      </c>
      <c r="K7" s="106">
        <f t="shared" si="1"/>
        <v>352.25</v>
      </c>
      <c r="L7" s="106">
        <f t="shared" si="2"/>
        <v>1761.25</v>
      </c>
    </row>
    <row r="8" spans="1:12" x14ac:dyDescent="0.25">
      <c r="A8" s="96" t="s">
        <v>218</v>
      </c>
      <c r="B8" s="95" t="s">
        <v>234</v>
      </c>
      <c r="C8" s="95" t="s">
        <v>231</v>
      </c>
      <c r="D8" s="95">
        <v>1.86</v>
      </c>
      <c r="E8" s="95">
        <v>0</v>
      </c>
      <c r="F8" s="106">
        <f>D8+E8</f>
        <v>1.86</v>
      </c>
      <c r="G8" s="4"/>
      <c r="H8" s="4"/>
      <c r="I8" s="4"/>
      <c r="J8" s="106">
        <f t="shared" si="0"/>
        <v>1.86</v>
      </c>
      <c r="K8" s="106">
        <f t="shared" si="1"/>
        <v>0.46500000000000002</v>
      </c>
      <c r="L8" s="106">
        <f t="shared" si="2"/>
        <v>2.3250000000000002</v>
      </c>
    </row>
    <row r="9" spans="1:12" x14ac:dyDescent="0.25">
      <c r="A9" s="96" t="s">
        <v>222</v>
      </c>
      <c r="B9" s="95" t="s">
        <v>217</v>
      </c>
      <c r="C9" s="95" t="s">
        <v>216</v>
      </c>
      <c r="D9" s="4">
        <v>106.25</v>
      </c>
      <c r="E9" s="4">
        <v>8</v>
      </c>
      <c r="F9" s="106">
        <f t="shared" ref="F9" si="3">D9+E9</f>
        <v>114.25</v>
      </c>
      <c r="G9" s="4"/>
      <c r="H9" s="81"/>
      <c r="I9" s="4"/>
      <c r="J9" s="106">
        <f t="shared" si="0"/>
        <v>114.25</v>
      </c>
      <c r="K9" s="106">
        <f t="shared" si="1"/>
        <v>28.5625</v>
      </c>
      <c r="L9" s="106">
        <f t="shared" si="2"/>
        <v>142.8125</v>
      </c>
    </row>
    <row r="10" spans="1:12" x14ac:dyDescent="0.25">
      <c r="A10" s="96" t="s">
        <v>223</v>
      </c>
      <c r="B10" s="95" t="s">
        <v>228</v>
      </c>
      <c r="C10" s="95" t="s">
        <v>216</v>
      </c>
      <c r="D10" s="95">
        <v>194.5</v>
      </c>
      <c r="E10" s="95">
        <v>8</v>
      </c>
      <c r="F10" s="106">
        <f t="shared" ref="F10:F15" si="4">D10+E10</f>
        <v>202.5</v>
      </c>
      <c r="G10" s="4"/>
      <c r="H10" s="81"/>
      <c r="I10" s="4"/>
      <c r="J10" s="106">
        <f t="shared" si="0"/>
        <v>202.5</v>
      </c>
      <c r="K10" s="106">
        <f t="shared" si="1"/>
        <v>50.625</v>
      </c>
      <c r="L10" s="106">
        <f t="shared" si="2"/>
        <v>253.125</v>
      </c>
    </row>
    <row r="11" spans="1:12" x14ac:dyDescent="0.25">
      <c r="A11" s="96" t="s">
        <v>224</v>
      </c>
      <c r="B11" s="95" t="s">
        <v>217</v>
      </c>
      <c r="C11" s="95" t="s">
        <v>216</v>
      </c>
      <c r="D11" s="95">
        <v>68.400000000000006</v>
      </c>
      <c r="E11" s="95">
        <v>8</v>
      </c>
      <c r="F11" s="106">
        <f t="shared" si="4"/>
        <v>76.400000000000006</v>
      </c>
      <c r="G11" s="4"/>
      <c r="H11" s="4"/>
      <c r="I11" s="4"/>
      <c r="J11" s="106">
        <f t="shared" si="0"/>
        <v>76.400000000000006</v>
      </c>
      <c r="K11" s="106">
        <f t="shared" si="1"/>
        <v>19.100000000000001</v>
      </c>
      <c r="L11" s="106">
        <f t="shared" si="2"/>
        <v>95.5</v>
      </c>
    </row>
    <row r="12" spans="1:12" x14ac:dyDescent="0.25">
      <c r="A12" s="96" t="s">
        <v>225</v>
      </c>
      <c r="B12" s="95" t="s">
        <v>230</v>
      </c>
      <c r="C12" s="14" t="s">
        <v>231</v>
      </c>
      <c r="D12" s="14">
        <v>9.2899999999999991</v>
      </c>
      <c r="E12" s="14"/>
      <c r="F12" s="106">
        <f t="shared" si="4"/>
        <v>9.2899999999999991</v>
      </c>
      <c r="G12" s="4"/>
      <c r="H12" s="4"/>
      <c r="I12" s="4"/>
      <c r="J12" s="106">
        <f t="shared" si="0"/>
        <v>9.2899999999999991</v>
      </c>
      <c r="K12" s="106">
        <f t="shared" si="1"/>
        <v>2.3224999999999998</v>
      </c>
      <c r="L12" s="106">
        <f t="shared" si="2"/>
        <v>11.612499999999999</v>
      </c>
    </row>
    <row r="13" spans="1:12" x14ac:dyDescent="0.25">
      <c r="A13" s="96" t="s">
        <v>226</v>
      </c>
      <c r="B13" s="95" t="s">
        <v>232</v>
      </c>
      <c r="C13" s="14" t="s">
        <v>233</v>
      </c>
      <c r="D13" s="14">
        <v>14.9</v>
      </c>
      <c r="E13" s="14"/>
      <c r="F13" s="106">
        <f t="shared" si="4"/>
        <v>14.9</v>
      </c>
      <c r="G13" s="4"/>
      <c r="H13" s="4"/>
      <c r="I13" s="4"/>
      <c r="J13" s="106">
        <f t="shared" si="0"/>
        <v>14.9</v>
      </c>
      <c r="K13" s="106">
        <f t="shared" si="1"/>
        <v>3.7250000000000001</v>
      </c>
      <c r="L13" s="106">
        <f t="shared" si="2"/>
        <v>18.625</v>
      </c>
    </row>
    <row r="14" spans="1:12" x14ac:dyDescent="0.25">
      <c r="A14" s="96" t="s">
        <v>227</v>
      </c>
      <c r="B14" s="95" t="s">
        <v>236</v>
      </c>
      <c r="C14" s="95" t="s">
        <v>231</v>
      </c>
      <c r="D14" s="95">
        <v>32.700000000000003</v>
      </c>
      <c r="E14" s="4"/>
      <c r="F14" s="106">
        <f t="shared" si="4"/>
        <v>32.700000000000003</v>
      </c>
      <c r="G14" s="4"/>
      <c r="H14" s="4"/>
      <c r="I14" s="4"/>
      <c r="J14" s="106">
        <f t="shared" si="0"/>
        <v>32.700000000000003</v>
      </c>
      <c r="K14" s="106">
        <f t="shared" si="1"/>
        <v>8.1750000000000007</v>
      </c>
      <c r="L14" s="106">
        <f t="shared" si="2"/>
        <v>40.875</v>
      </c>
    </row>
    <row r="15" spans="1:12" x14ac:dyDescent="0.25">
      <c r="A15" s="96" t="s">
        <v>235</v>
      </c>
      <c r="B15" s="95" t="s">
        <v>237</v>
      </c>
      <c r="C15" s="95" t="s">
        <v>231</v>
      </c>
      <c r="D15" s="95">
        <v>9.6</v>
      </c>
      <c r="E15" s="4"/>
      <c r="F15" s="106">
        <f t="shared" si="4"/>
        <v>9.6</v>
      </c>
      <c r="G15" s="4"/>
      <c r="H15" s="4"/>
      <c r="I15" s="4"/>
      <c r="J15" s="106">
        <f t="shared" si="0"/>
        <v>9.6</v>
      </c>
      <c r="K15" s="106">
        <f t="shared" si="1"/>
        <v>2.4</v>
      </c>
      <c r="L15" s="106">
        <f t="shared" si="2"/>
        <v>12</v>
      </c>
    </row>
    <row r="16" spans="1:12" x14ac:dyDescent="0.25">
      <c r="A16" s="84"/>
      <c r="B16" s="82"/>
      <c r="C16" s="82"/>
      <c r="D16" s="82"/>
      <c r="E16" s="82"/>
      <c r="F16" s="87"/>
    </row>
    <row r="17" spans="1:1" x14ac:dyDescent="0.25">
      <c r="A17" s="80"/>
    </row>
    <row r="18" spans="1:1" x14ac:dyDescent="0.25">
      <c r="A18" s="80"/>
    </row>
  </sheetData>
  <mergeCells count="3">
    <mergeCell ref="C1:D1"/>
    <mergeCell ref="E1:F1"/>
    <mergeCell ref="H1:J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workbookViewId="0">
      <selection activeCell="A3" sqref="A3:B3"/>
    </sheetView>
  </sheetViews>
  <sheetFormatPr baseColWidth="10" defaultRowHeight="15" x14ac:dyDescent="0.25"/>
  <cols>
    <col min="1" max="1" width="9.5703125" customWidth="1"/>
    <col min="3" max="3" width="22.5703125" customWidth="1"/>
    <col min="5" max="5" width="11.85546875" bestFit="1" customWidth="1"/>
    <col min="9" max="9" width="11.85546875" bestFit="1" customWidth="1"/>
    <col min="10" max="10" width="15.28515625" bestFit="1" customWidth="1"/>
  </cols>
  <sheetData>
    <row r="1" spans="1:14" ht="21" x14ac:dyDescent="0.35">
      <c r="A1" s="39" t="s">
        <v>242</v>
      </c>
      <c r="B1" s="39"/>
      <c r="E1" t="s">
        <v>0</v>
      </c>
      <c r="G1" s="2" t="s">
        <v>241</v>
      </c>
    </row>
    <row r="2" spans="1:14" ht="45" customHeight="1" x14ac:dyDescent="0.25">
      <c r="A2" s="89" t="s">
        <v>301</v>
      </c>
      <c r="B2" s="153" t="s">
        <v>297</v>
      </c>
      <c r="C2" s="153"/>
      <c r="E2" t="s">
        <v>2</v>
      </c>
      <c r="G2" s="1">
        <v>44082</v>
      </c>
      <c r="H2" t="s">
        <v>3</v>
      </c>
    </row>
    <row r="3" spans="1:14" ht="30" customHeight="1" x14ac:dyDescent="0.25">
      <c r="A3" s="157" t="s">
        <v>16</v>
      </c>
      <c r="B3" s="158"/>
      <c r="C3" s="30" t="s">
        <v>255</v>
      </c>
      <c r="D3" s="30"/>
      <c r="E3" s="30" t="s">
        <v>256</v>
      </c>
      <c r="F3" s="30"/>
      <c r="G3" s="31" t="s">
        <v>57</v>
      </c>
      <c r="H3" s="30"/>
    </row>
    <row r="4" spans="1:14" ht="30" customHeight="1" thickBot="1" x14ac:dyDescent="0.3">
      <c r="A4" s="157" t="s">
        <v>17</v>
      </c>
      <c r="B4" s="158"/>
      <c r="C4" s="30" t="s">
        <v>186</v>
      </c>
      <c r="D4" s="30"/>
      <c r="E4" s="154" t="s">
        <v>243</v>
      </c>
      <c r="F4" s="155"/>
      <c r="G4" s="156"/>
      <c r="H4" s="30" t="s">
        <v>6</v>
      </c>
    </row>
    <row r="5" spans="1:14" x14ac:dyDescent="0.25">
      <c r="J5" s="159" t="s">
        <v>260</v>
      </c>
      <c r="K5" s="160"/>
    </row>
    <row r="6" spans="1:14" ht="30" x14ac:dyDescent="0.25">
      <c r="A6" s="98" t="s">
        <v>244</v>
      </c>
      <c r="B6" s="98" t="s">
        <v>34</v>
      </c>
      <c r="C6" s="98" t="s">
        <v>245</v>
      </c>
      <c r="D6" s="98" t="s">
        <v>246</v>
      </c>
      <c r="E6" s="98" t="s">
        <v>247</v>
      </c>
      <c r="F6" s="98" t="s">
        <v>257</v>
      </c>
      <c r="G6" s="98" t="s">
        <v>248</v>
      </c>
      <c r="H6" s="98" t="s">
        <v>249</v>
      </c>
      <c r="I6" s="98" t="s">
        <v>252</v>
      </c>
      <c r="J6" s="98" t="s">
        <v>250</v>
      </c>
      <c r="K6" s="98" t="s">
        <v>251</v>
      </c>
      <c r="L6" s="98" t="s">
        <v>286</v>
      </c>
      <c r="M6" s="98" t="s">
        <v>287</v>
      </c>
      <c r="N6" s="98" t="s">
        <v>252</v>
      </c>
    </row>
    <row r="7" spans="1:14" x14ac:dyDescent="0.25">
      <c r="A7" s="4">
        <v>1</v>
      </c>
      <c r="B7" s="4">
        <v>1</v>
      </c>
      <c r="C7" s="4" t="s">
        <v>254</v>
      </c>
      <c r="D7" s="4" t="s">
        <v>253</v>
      </c>
      <c r="E7" s="114">
        <v>56000</v>
      </c>
      <c r="F7" s="4" t="s">
        <v>258</v>
      </c>
      <c r="G7" s="106">
        <f>J7</f>
        <v>574</v>
      </c>
      <c r="H7" s="4">
        <v>1</v>
      </c>
      <c r="I7" s="106">
        <f>G7*H7</f>
        <v>574</v>
      </c>
      <c r="J7" s="14">
        <f>E7*3.2*20/(100*8*20)+(E7/160)</f>
        <v>574</v>
      </c>
      <c r="K7" s="14"/>
      <c r="L7" s="4" t="s">
        <v>57</v>
      </c>
      <c r="M7" s="4"/>
      <c r="N7" s="4"/>
    </row>
    <row r="8" spans="1:14" x14ac:dyDescent="0.25">
      <c r="A8" s="4"/>
      <c r="B8" s="4"/>
      <c r="C8" s="4"/>
      <c r="D8" s="4"/>
      <c r="E8" s="114"/>
      <c r="F8" s="4" t="s">
        <v>259</v>
      </c>
      <c r="G8" s="106">
        <f>K8</f>
        <v>190</v>
      </c>
      <c r="H8" s="4"/>
      <c r="I8" s="106">
        <f>K8*H7</f>
        <v>190</v>
      </c>
      <c r="J8" s="14"/>
      <c r="K8" s="14">
        <v>190</v>
      </c>
      <c r="L8" s="4"/>
      <c r="M8" s="4"/>
      <c r="N8" s="4"/>
    </row>
    <row r="9" spans="1:14" x14ac:dyDescent="0.25">
      <c r="A9" s="4">
        <v>2</v>
      </c>
      <c r="B9" s="4">
        <v>1</v>
      </c>
      <c r="C9" s="4" t="s">
        <v>262</v>
      </c>
      <c r="D9" s="4" t="s">
        <v>261</v>
      </c>
      <c r="E9" s="114">
        <v>4750</v>
      </c>
      <c r="F9" s="4" t="s">
        <v>263</v>
      </c>
      <c r="G9" s="106">
        <f>J9</f>
        <v>48.6875</v>
      </c>
      <c r="H9" s="4">
        <v>1</v>
      </c>
      <c r="I9" s="106">
        <f>J9*H9</f>
        <v>48.6875</v>
      </c>
      <c r="J9" s="14">
        <f>E9*3.2*20/(8*20*100)+(E9/160)</f>
        <v>48.6875</v>
      </c>
      <c r="K9" s="14"/>
      <c r="L9" s="4"/>
      <c r="M9" s="4"/>
      <c r="N9" s="4"/>
    </row>
    <row r="10" spans="1:14" x14ac:dyDescent="0.25">
      <c r="A10" s="4"/>
      <c r="B10" s="4"/>
      <c r="C10" s="4"/>
      <c r="D10" s="4"/>
      <c r="E10" s="114"/>
      <c r="F10" s="4" t="s">
        <v>259</v>
      </c>
      <c r="G10" s="106">
        <f>K10</f>
        <v>24.5</v>
      </c>
      <c r="H10" s="4"/>
      <c r="I10" s="106">
        <f>K10*H9</f>
        <v>24.5</v>
      </c>
      <c r="J10" s="14"/>
      <c r="K10" s="14">
        <v>24.5</v>
      </c>
      <c r="L10" s="4"/>
      <c r="M10" s="4"/>
      <c r="N10" s="4"/>
    </row>
    <row r="11" spans="1:14" x14ac:dyDescent="0.25">
      <c r="A11" s="4">
        <v>3</v>
      </c>
      <c r="B11" s="4">
        <v>48</v>
      </c>
      <c r="C11" s="4" t="s">
        <v>265</v>
      </c>
      <c r="D11" s="4" t="s">
        <v>264</v>
      </c>
      <c r="E11" s="114">
        <v>5600</v>
      </c>
      <c r="F11" s="4" t="s">
        <v>263</v>
      </c>
      <c r="G11" s="106">
        <f>J11</f>
        <v>119</v>
      </c>
      <c r="H11" s="4">
        <v>1</v>
      </c>
      <c r="I11" s="106">
        <f>J11*H11</f>
        <v>119</v>
      </c>
      <c r="J11" s="14">
        <f>E11*20*12/(8*20*100)+(E11/160)</f>
        <v>119</v>
      </c>
      <c r="K11" s="14"/>
      <c r="L11" s="4"/>
      <c r="M11" s="4"/>
      <c r="N11" s="4"/>
    </row>
    <row r="12" spans="1:14" x14ac:dyDescent="0.25">
      <c r="A12" s="4"/>
      <c r="B12" s="4"/>
      <c r="C12" s="4"/>
      <c r="D12" s="4"/>
      <c r="E12" s="114"/>
      <c r="F12" s="4" t="s">
        <v>259</v>
      </c>
      <c r="G12" s="106">
        <f>K12</f>
        <v>25</v>
      </c>
      <c r="H12" s="4"/>
      <c r="I12" s="106">
        <f>K12*H11</f>
        <v>25</v>
      </c>
      <c r="J12" s="14"/>
      <c r="K12" s="14">
        <v>25</v>
      </c>
      <c r="L12" s="4"/>
      <c r="M12" s="4"/>
      <c r="N12" s="4"/>
    </row>
    <row r="13" spans="1:14" x14ac:dyDescent="0.25">
      <c r="A13" s="4">
        <v>4</v>
      </c>
      <c r="B13" s="4">
        <v>1</v>
      </c>
      <c r="C13" s="4" t="s">
        <v>267</v>
      </c>
      <c r="D13" s="4" t="s">
        <v>266</v>
      </c>
      <c r="E13" s="114">
        <v>6200</v>
      </c>
      <c r="F13" s="4" t="s">
        <v>263</v>
      </c>
      <c r="G13" s="106">
        <f>J13</f>
        <v>50.977777777777774</v>
      </c>
      <c r="H13" s="4">
        <v>1</v>
      </c>
      <c r="I13" s="106">
        <f>G13*H13</f>
        <v>50.977777777777774</v>
      </c>
      <c r="J13" s="14">
        <f>(E13*3.2*15/100/180)+(E13/180)</f>
        <v>50.977777777777774</v>
      </c>
      <c r="K13" s="14"/>
      <c r="L13" s="4"/>
      <c r="M13" s="4"/>
      <c r="N13" s="4"/>
    </row>
    <row r="14" spans="1:14" x14ac:dyDescent="0.25">
      <c r="A14" s="4"/>
      <c r="B14" s="4"/>
      <c r="C14" s="4"/>
      <c r="D14" s="4"/>
      <c r="E14" s="114"/>
      <c r="F14" s="4" t="s">
        <v>259</v>
      </c>
      <c r="G14" s="106">
        <f>K14</f>
        <v>85</v>
      </c>
      <c r="H14" s="4"/>
      <c r="I14" s="106">
        <f>G14*H13</f>
        <v>85</v>
      </c>
      <c r="J14" s="14"/>
      <c r="K14" s="14">
        <v>85</v>
      </c>
      <c r="L14" s="4"/>
      <c r="M14" s="4"/>
      <c r="N14" s="4"/>
    </row>
    <row r="15" spans="1:14" x14ac:dyDescent="0.25">
      <c r="A15" s="4" t="s">
        <v>268</v>
      </c>
      <c r="B15" s="4"/>
      <c r="C15" s="4" t="s">
        <v>46</v>
      </c>
      <c r="D15" s="4"/>
      <c r="E15" s="81"/>
      <c r="F15" s="4"/>
      <c r="G15" s="4"/>
      <c r="H15" s="4"/>
      <c r="I15" s="107">
        <f>SUM(I7:I14)</f>
        <v>1117.1652777777779</v>
      </c>
      <c r="J15" s="14">
        <f>SUM(J7:J14)</f>
        <v>792.66527777777776</v>
      </c>
      <c r="K15" s="14">
        <f>SUM(K7:K14)</f>
        <v>324.5</v>
      </c>
      <c r="L15" s="4"/>
      <c r="M15" s="4"/>
      <c r="N15" s="4"/>
    </row>
    <row r="16" spans="1:14" x14ac:dyDescent="0.25">
      <c r="A16" s="82"/>
      <c r="B16" s="82"/>
      <c r="C16" s="82"/>
      <c r="D16" s="82"/>
      <c r="E16" s="85"/>
      <c r="F16" s="82"/>
      <c r="G16" s="82"/>
      <c r="H16" s="82"/>
      <c r="I16" s="87"/>
      <c r="J16" s="86"/>
      <c r="K16" s="86"/>
      <c r="L16" s="82"/>
      <c r="M16" s="82"/>
      <c r="N16" s="82"/>
    </row>
    <row r="17" spans="1:11" ht="15.75" thickBot="1" x14ac:dyDescent="0.3">
      <c r="E17" s="79"/>
      <c r="H17" t="s">
        <v>213</v>
      </c>
      <c r="I17" t="s">
        <v>273</v>
      </c>
      <c r="K17" t="s">
        <v>46</v>
      </c>
    </row>
    <row r="18" spans="1:11" x14ac:dyDescent="0.25">
      <c r="A18" t="s">
        <v>269</v>
      </c>
      <c r="B18" s="97"/>
      <c r="C18" s="99" t="s">
        <v>270</v>
      </c>
      <c r="D18" s="113">
        <f>K15</f>
        <v>324.5</v>
      </c>
      <c r="E18" s="100" t="s">
        <v>271</v>
      </c>
      <c r="F18" s="99" t="s">
        <v>272</v>
      </c>
      <c r="G18" s="99"/>
      <c r="H18" s="108">
        <f>K15/2</f>
        <v>162.25</v>
      </c>
      <c r="I18" s="108">
        <f>K15-H18</f>
        <v>162.25</v>
      </c>
      <c r="J18" s="108"/>
      <c r="K18" s="109"/>
    </row>
    <row r="19" spans="1:11" x14ac:dyDescent="0.25">
      <c r="A19" t="s">
        <v>275</v>
      </c>
      <c r="B19" s="101">
        <v>0.8</v>
      </c>
      <c r="C19" s="82" t="s">
        <v>274</v>
      </c>
      <c r="D19" s="82"/>
      <c r="E19" s="85"/>
      <c r="F19" s="82"/>
      <c r="G19" s="82"/>
      <c r="H19" s="86"/>
      <c r="I19" s="86">
        <f>J15*B19</f>
        <v>634.13222222222225</v>
      </c>
      <c r="J19" s="86"/>
      <c r="K19" s="110"/>
    </row>
    <row r="20" spans="1:11" x14ac:dyDescent="0.25">
      <c r="A20" t="s">
        <v>277</v>
      </c>
      <c r="B20" s="102"/>
      <c r="C20" s="82" t="s">
        <v>276</v>
      </c>
      <c r="D20" s="82"/>
      <c r="E20" s="82"/>
      <c r="F20" s="82"/>
      <c r="G20" s="82"/>
      <c r="H20" s="86"/>
      <c r="I20" s="86"/>
      <c r="J20" s="86"/>
      <c r="K20" s="110"/>
    </row>
    <row r="21" spans="1:11" x14ac:dyDescent="0.25">
      <c r="A21" t="s">
        <v>278</v>
      </c>
      <c r="B21" s="102"/>
      <c r="C21" s="82" t="s">
        <v>279</v>
      </c>
      <c r="D21" s="82"/>
      <c r="E21" s="82"/>
      <c r="F21" s="82"/>
      <c r="G21" s="82"/>
      <c r="H21" s="86">
        <f>H18</f>
        <v>162.25</v>
      </c>
      <c r="I21" s="86">
        <f>I18+I19+I20</f>
        <v>796.38222222222225</v>
      </c>
      <c r="J21" s="86"/>
      <c r="K21" s="110">
        <f>H21+I21</f>
        <v>958.63222222222225</v>
      </c>
    </row>
    <row r="22" spans="1:11" x14ac:dyDescent="0.25">
      <c r="A22" t="s">
        <v>280</v>
      </c>
      <c r="B22" s="101">
        <v>0.25</v>
      </c>
      <c r="C22" s="82" t="s">
        <v>239</v>
      </c>
      <c r="D22" s="82"/>
      <c r="E22" s="82"/>
      <c r="F22" s="82"/>
      <c r="G22" s="82"/>
      <c r="H22" s="86">
        <f>H21*B22</f>
        <v>40.5625</v>
      </c>
      <c r="I22" s="86">
        <f>I21*B22</f>
        <v>199.09555555555556</v>
      </c>
      <c r="J22" s="86"/>
      <c r="K22" s="110">
        <f>K21*B22</f>
        <v>239.65805555555556</v>
      </c>
    </row>
    <row r="23" spans="1:11" x14ac:dyDescent="0.25">
      <c r="A23" t="s">
        <v>281</v>
      </c>
      <c r="B23" s="102"/>
      <c r="C23" s="82" t="s">
        <v>282</v>
      </c>
      <c r="D23" s="82"/>
      <c r="E23" s="82"/>
      <c r="F23" s="82"/>
      <c r="G23" s="82"/>
      <c r="H23" s="86"/>
      <c r="I23" s="86"/>
      <c r="J23" s="86"/>
      <c r="K23" s="110">
        <f>K21+K22</f>
        <v>1198.2902777777779</v>
      </c>
    </row>
    <row r="24" spans="1:11" ht="15.75" thickBot="1" x14ac:dyDescent="0.3">
      <c r="A24" t="s">
        <v>283</v>
      </c>
      <c r="B24" s="103"/>
      <c r="C24" s="104" t="s">
        <v>285</v>
      </c>
      <c r="D24" s="105"/>
      <c r="E24" s="105">
        <v>170</v>
      </c>
      <c r="F24" s="105" t="s">
        <v>284</v>
      </c>
      <c r="G24" s="105"/>
      <c r="H24" s="111"/>
      <c r="I24" s="111"/>
      <c r="J24" s="111"/>
      <c r="K24" s="112">
        <f>K23/E24</f>
        <v>7.0487663398692817</v>
      </c>
    </row>
  </sheetData>
  <mergeCells count="5">
    <mergeCell ref="B2:C2"/>
    <mergeCell ref="E4:G4"/>
    <mergeCell ref="A3:B3"/>
    <mergeCell ref="A4:B4"/>
    <mergeCell ref="J5:K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K3</vt:lpstr>
      <vt:lpstr>Umgelegte Lohnnebenkosten</vt:lpstr>
      <vt:lpstr>Andere Lohnbestandteile</vt:lpstr>
      <vt:lpstr>Kalkulierte Mannschaft</vt:lpstr>
      <vt:lpstr>KV2020</vt:lpstr>
      <vt:lpstr>Aufzahlung für Mehrarbeit</vt:lpstr>
      <vt:lpstr>K4</vt:lpstr>
      <vt:lpstr>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dcterms:created xsi:type="dcterms:W3CDTF">2015-09-15T08:30:26Z</dcterms:created>
  <dcterms:modified xsi:type="dcterms:W3CDTF">2020-12-09T07:31:34Z</dcterms:modified>
</cp:coreProperties>
</file>